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5120" windowHeight="8010" tabRatio="780" firstSheet="1" activeTab="1"/>
  </bookViews>
  <sheets>
    <sheet name="Upravljanje i savjetovanje 2013" sheetId="4" r:id="rId1"/>
    <sheet name="Upravljanje i savjetovanje 2012" sheetId="5" r:id="rId2"/>
    <sheet name="Upravljanje i savjetovanje rang" sheetId="6" r:id="rId3"/>
    <sheet name="Hoteli i restorani 2013" sheetId="7" r:id="rId4"/>
    <sheet name="Hoteli i restorani 2012" sheetId="8" r:id="rId5"/>
    <sheet name="Hoteli i restorani rang" sheetId="9" r:id="rId6"/>
    <sheet name="Hrana - proizvodnja 2013" sheetId="11" r:id="rId7"/>
    <sheet name="Hrana i proizvodnja 2012" sheetId="10" r:id="rId8"/>
    <sheet name="Hrana i proizvodnja rang" sheetId="12" r:id="rId9"/>
    <sheet name="Poljoprivreda 2013" sheetId="13" r:id="rId10"/>
    <sheet name="Poljoprivreda 2012" sheetId="14" r:id="rId11"/>
    <sheet name="Popljoprivreda rang" sheetId="15" r:id="rId12"/>
    <sheet name="Telekomunikacije 2013" sheetId="17" r:id="rId13"/>
    <sheet name="Telekomunikacije 2012" sheetId="16" r:id="rId14"/>
    <sheet name="Telekomunikacije rang " sheetId="18" r:id="rId15"/>
    <sheet name="Električni strojevi 2013" sheetId="19" r:id="rId16"/>
    <sheet name="Električni strojevi 2012" sheetId="20" r:id="rId17"/>
    <sheet name="Električni strojevi rang" sheetId="21" r:id="rId18"/>
    <sheet name="Trgovina 2013" sheetId="22" r:id="rId19"/>
    <sheet name="Trgovina 2012" sheetId="23" r:id="rId20"/>
    <sheet name="Trgovina rang" sheetId="24" r:id="rId21"/>
    <sheet name="Građevina 2013" sheetId="25" r:id="rId22"/>
    <sheet name="Građevina 2012" sheetId="26" r:id="rId23"/>
    <sheet name="Građevina rang" sheetId="27" r:id="rId24"/>
    <sheet name="Metali 2013" sheetId="28" r:id="rId25"/>
    <sheet name="Metali 2012" sheetId="29" r:id="rId26"/>
    <sheet name="Metali rang" sheetId="30" r:id="rId27"/>
    <sheet name="Kemija 2013" sheetId="31" r:id="rId28"/>
    <sheet name="Kemija 2012" sheetId="32" r:id="rId29"/>
    <sheet name="Kemija rang" sheetId="33" r:id="rId30"/>
    <sheet name="Nafta 2013" sheetId="34" r:id="rId31"/>
    <sheet name="Nafta 2012" sheetId="35" r:id="rId32"/>
    <sheet name="Nafta rang" sheetId="36" r:id="rId33"/>
    <sheet name="List1" sheetId="1" r:id="rId34"/>
    <sheet name="List2" sheetId="2" r:id="rId35"/>
    <sheet name="List3" sheetId="3" r:id="rId36"/>
  </sheets>
  <externalReferences>
    <externalReference r:id="rId37"/>
  </externalReferences>
  <definedNames>
    <definedName name="_xlnm._FilterDatabase" localSheetId="28" hidden="1">'Kemija 2012'!#REF!</definedName>
    <definedName name="_xlnm._FilterDatabase" localSheetId="20" hidden="1">'Trgovina rang'!$A$2:$H$17</definedName>
  </definedNames>
  <calcPr calcId="125725"/>
</workbook>
</file>

<file path=xl/calcChain.xml><?xml version="1.0" encoding="utf-8"?>
<calcChain xmlns="http://schemas.openxmlformats.org/spreadsheetml/2006/main">
  <c r="G6" i="33"/>
  <c r="G7"/>
  <c r="G8"/>
  <c r="G9"/>
  <c r="G10"/>
  <c r="G11"/>
  <c r="G12"/>
  <c r="G13"/>
  <c r="G14"/>
  <c r="G15"/>
  <c r="G16"/>
  <c r="G17"/>
  <c r="D30" i="26" l="1"/>
  <c r="D31"/>
  <c r="D32"/>
  <c r="D36"/>
  <c r="D37"/>
  <c r="D38"/>
  <c r="D42"/>
  <c r="D43"/>
  <c r="D44"/>
  <c r="G4" i="36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E4" i="35"/>
  <c r="I4"/>
  <c r="L4"/>
  <c r="Q4"/>
  <c r="U4"/>
  <c r="Y4"/>
  <c r="AC4"/>
  <c r="AK4"/>
  <c r="E5"/>
  <c r="I5"/>
  <c r="L5"/>
  <c r="M4" s="1"/>
  <c r="Q5"/>
  <c r="U5"/>
  <c r="Y5"/>
  <c r="AC5"/>
  <c r="AK5"/>
  <c r="E6"/>
  <c r="I6"/>
  <c r="L6"/>
  <c r="M5" s="1"/>
  <c r="Q6"/>
  <c r="U6"/>
  <c r="Y6"/>
  <c r="AC6"/>
  <c r="AK6"/>
  <c r="E7"/>
  <c r="I7"/>
  <c r="L7"/>
  <c r="Q7"/>
  <c r="U7"/>
  <c r="Y7"/>
  <c r="AC7"/>
  <c r="AK7"/>
  <c r="E8"/>
  <c r="I8"/>
  <c r="L8"/>
  <c r="M7" s="1"/>
  <c r="Q8"/>
  <c r="U8"/>
  <c r="Y8"/>
  <c r="AC8"/>
  <c r="AK8"/>
  <c r="E9"/>
  <c r="I9"/>
  <c r="L9"/>
  <c r="Q9"/>
  <c r="U9"/>
  <c r="Y9"/>
  <c r="AC9"/>
  <c r="AK9"/>
  <c r="E10"/>
  <c r="I10"/>
  <c r="L10"/>
  <c r="M9" s="1"/>
  <c r="Q10"/>
  <c r="U10"/>
  <c r="Y10"/>
  <c r="AC10"/>
  <c r="AK10"/>
  <c r="E11"/>
  <c r="I11"/>
  <c r="L11"/>
  <c r="Q11"/>
  <c r="U11"/>
  <c r="Y11"/>
  <c r="AC11"/>
  <c r="AK11"/>
  <c r="E12"/>
  <c r="I12"/>
  <c r="L12"/>
  <c r="M11" s="1"/>
  <c r="Q12"/>
  <c r="U12"/>
  <c r="Y12"/>
  <c r="AC12"/>
  <c r="AK12"/>
  <c r="E13"/>
  <c r="I13"/>
  <c r="L13"/>
  <c r="Q13"/>
  <c r="U13"/>
  <c r="Y13"/>
  <c r="AC13"/>
  <c r="AK13"/>
  <c r="E14"/>
  <c r="I14"/>
  <c r="L14"/>
  <c r="M13" s="1"/>
  <c r="Q14"/>
  <c r="U14"/>
  <c r="Y14"/>
  <c r="AC14"/>
  <c r="AK14"/>
  <c r="E15"/>
  <c r="I15"/>
  <c r="L15"/>
  <c r="M14" s="1"/>
  <c r="Q15"/>
  <c r="U15"/>
  <c r="Y15"/>
  <c r="AC15"/>
  <c r="AK15"/>
  <c r="E16"/>
  <c r="I16"/>
  <c r="L16"/>
  <c r="M15" s="1"/>
  <c r="Q16"/>
  <c r="U16"/>
  <c r="Y16"/>
  <c r="AC16"/>
  <c r="AK16"/>
  <c r="E17"/>
  <c r="I17"/>
  <c r="L17"/>
  <c r="M16" s="1"/>
  <c r="Q17"/>
  <c r="U17"/>
  <c r="Y17"/>
  <c r="AC17"/>
  <c r="AK17"/>
  <c r="E18"/>
  <c r="I18"/>
  <c r="L18"/>
  <c r="M17" s="1"/>
  <c r="Q18"/>
  <c r="U18"/>
  <c r="Y18"/>
  <c r="AC18"/>
  <c r="AK18"/>
  <c r="E19"/>
  <c r="I19"/>
  <c r="L19"/>
  <c r="M18" s="1"/>
  <c r="Q19"/>
  <c r="U19"/>
  <c r="Y19"/>
  <c r="AC19"/>
  <c r="AK19"/>
  <c r="E20"/>
  <c r="I20"/>
  <c r="L20"/>
  <c r="M19" s="1"/>
  <c r="Q20"/>
  <c r="U20"/>
  <c r="Y20"/>
  <c r="AC20"/>
  <c r="AK20"/>
  <c r="E21"/>
  <c r="I21"/>
  <c r="L21"/>
  <c r="M20" s="1"/>
  <c r="Q21"/>
  <c r="U21"/>
  <c r="Y21"/>
  <c r="AC21"/>
  <c r="AK21"/>
  <c r="E22"/>
  <c r="I22"/>
  <c r="L22"/>
  <c r="Q22"/>
  <c r="U22"/>
  <c r="Y22"/>
  <c r="AC22"/>
  <c r="AK22"/>
  <c r="E23"/>
  <c r="I23"/>
  <c r="L23"/>
  <c r="M22" s="1"/>
  <c r="Q23"/>
  <c r="U23"/>
  <c r="Y23"/>
  <c r="AC23"/>
  <c r="AK23"/>
  <c r="F26"/>
  <c r="B27"/>
  <c r="C6" s="1"/>
  <c r="B28"/>
  <c r="C11" s="1"/>
  <c r="B29"/>
  <c r="C7" s="1"/>
  <c r="B30"/>
  <c r="C5" s="1"/>
  <c r="B33"/>
  <c r="G15" s="1"/>
  <c r="F33"/>
  <c r="B34"/>
  <c r="G11" s="1"/>
  <c r="B35"/>
  <c r="G5" s="1"/>
  <c r="B36"/>
  <c r="G9" s="1"/>
  <c r="B40"/>
  <c r="K15" s="1"/>
  <c r="D40"/>
  <c r="B41"/>
  <c r="K9" s="1"/>
  <c r="D41"/>
  <c r="B42"/>
  <c r="K5" s="1"/>
  <c r="D42"/>
  <c r="B43"/>
  <c r="K13" s="1"/>
  <c r="B46"/>
  <c r="D46"/>
  <c r="B47"/>
  <c r="D47"/>
  <c r="B48"/>
  <c r="D48"/>
  <c r="B49"/>
  <c r="B52"/>
  <c r="O4" s="1"/>
  <c r="D52"/>
  <c r="B53"/>
  <c r="O6" s="1"/>
  <c r="D53"/>
  <c r="B54"/>
  <c r="O14" s="1"/>
  <c r="D54"/>
  <c r="B55"/>
  <c r="O10" s="1"/>
  <c r="F57"/>
  <c r="B58"/>
  <c r="B59"/>
  <c r="S4" s="1"/>
  <c r="B60"/>
  <c r="S7" s="1"/>
  <c r="B61"/>
  <c r="S10" s="1"/>
  <c r="F63"/>
  <c r="B64"/>
  <c r="B65"/>
  <c r="W4" s="1"/>
  <c r="B66"/>
  <c r="W17" s="1"/>
  <c r="B67"/>
  <c r="W10" s="1"/>
  <c r="F69"/>
  <c r="B70"/>
  <c r="B71"/>
  <c r="AA4" s="1"/>
  <c r="B72"/>
  <c r="AA21" s="1"/>
  <c r="B73"/>
  <c r="AA10" s="1"/>
  <c r="F75"/>
  <c r="B76"/>
  <c r="AE6" s="1"/>
  <c r="D76"/>
  <c r="B77"/>
  <c r="AE12" s="1"/>
  <c r="D77"/>
  <c r="B78"/>
  <c r="AE8" s="1"/>
  <c r="D78"/>
  <c r="B79"/>
  <c r="AE4" s="1"/>
  <c r="F81"/>
  <c r="B82"/>
  <c r="AI5" s="1"/>
  <c r="D82"/>
  <c r="B83"/>
  <c r="AI9" s="1"/>
  <c r="D83"/>
  <c r="B84"/>
  <c r="AI11" s="1"/>
  <c r="D84"/>
  <c r="B85"/>
  <c r="AI7" s="1"/>
  <c r="L87"/>
  <c r="E4" i="34"/>
  <c r="I4"/>
  <c r="Q4"/>
  <c r="U4"/>
  <c r="Y4"/>
  <c r="AC4"/>
  <c r="AG4"/>
  <c r="AK4"/>
  <c r="E5"/>
  <c r="I5"/>
  <c r="Q5"/>
  <c r="U5"/>
  <c r="Y5"/>
  <c r="AC5"/>
  <c r="AG5"/>
  <c r="AK5"/>
  <c r="E6"/>
  <c r="I6"/>
  <c r="Q6"/>
  <c r="U6"/>
  <c r="Y6"/>
  <c r="AC6"/>
  <c r="AG6"/>
  <c r="AK6"/>
  <c r="E7"/>
  <c r="I7"/>
  <c r="Q7"/>
  <c r="U7"/>
  <c r="Y7"/>
  <c r="AC7"/>
  <c r="AG7"/>
  <c r="AK7"/>
  <c r="E8"/>
  <c r="I8"/>
  <c r="Q8"/>
  <c r="U8"/>
  <c r="Y8"/>
  <c r="AC8"/>
  <c r="AG8"/>
  <c r="AK8"/>
  <c r="E9"/>
  <c r="I9"/>
  <c r="Q9"/>
  <c r="U9"/>
  <c r="Y9"/>
  <c r="AC9"/>
  <c r="AG9"/>
  <c r="AK9"/>
  <c r="E10"/>
  <c r="I10"/>
  <c r="Q10"/>
  <c r="U10"/>
  <c r="Y10"/>
  <c r="AC10"/>
  <c r="AG10"/>
  <c r="AK10"/>
  <c r="E11"/>
  <c r="I11"/>
  <c r="Q11"/>
  <c r="U11"/>
  <c r="Y11"/>
  <c r="AC11"/>
  <c r="AG11"/>
  <c r="AK11"/>
  <c r="E12"/>
  <c r="I12"/>
  <c r="Q12"/>
  <c r="U12"/>
  <c r="Y12"/>
  <c r="AC12"/>
  <c r="AG12"/>
  <c r="AK12"/>
  <c r="E13"/>
  <c r="I13"/>
  <c r="Q13"/>
  <c r="U13"/>
  <c r="Y13"/>
  <c r="AC13"/>
  <c r="AG13"/>
  <c r="AK13"/>
  <c r="E14"/>
  <c r="I14"/>
  <c r="Q14"/>
  <c r="U14"/>
  <c r="Y14"/>
  <c r="AC14"/>
  <c r="AG14"/>
  <c r="AK14"/>
  <c r="E15"/>
  <c r="I15"/>
  <c r="Q15"/>
  <c r="U15"/>
  <c r="Y15"/>
  <c r="AC15"/>
  <c r="AG15"/>
  <c r="AK15"/>
  <c r="E16"/>
  <c r="I16"/>
  <c r="Q16"/>
  <c r="U16"/>
  <c r="Y16"/>
  <c r="AC16"/>
  <c r="AG16"/>
  <c r="AK16"/>
  <c r="C17"/>
  <c r="E17"/>
  <c r="I17"/>
  <c r="K17"/>
  <c r="Q17"/>
  <c r="S17"/>
  <c r="U17"/>
  <c r="Y17"/>
  <c r="AA17"/>
  <c r="AC17"/>
  <c r="AE17"/>
  <c r="AG17"/>
  <c r="AI17"/>
  <c r="AK17"/>
  <c r="E18"/>
  <c r="I18"/>
  <c r="Q18"/>
  <c r="U18"/>
  <c r="Y18"/>
  <c r="AC18"/>
  <c r="AG18"/>
  <c r="AK18"/>
  <c r="C19"/>
  <c r="E19"/>
  <c r="G19"/>
  <c r="I19"/>
  <c r="K19"/>
  <c r="Q19"/>
  <c r="S19"/>
  <c r="U19"/>
  <c r="Y19"/>
  <c r="AA19"/>
  <c r="AC19"/>
  <c r="AE19"/>
  <c r="AG19"/>
  <c r="AI19"/>
  <c r="AK19"/>
  <c r="E20"/>
  <c r="I20"/>
  <c r="Q20"/>
  <c r="U20"/>
  <c r="Y20"/>
  <c r="AC20"/>
  <c r="AG20"/>
  <c r="AK20"/>
  <c r="C21"/>
  <c r="E21"/>
  <c r="G21"/>
  <c r="I21"/>
  <c r="K21"/>
  <c r="Q21"/>
  <c r="S21"/>
  <c r="U21"/>
  <c r="W21"/>
  <c r="Y21"/>
  <c r="AA21"/>
  <c r="AC21"/>
  <c r="AE21"/>
  <c r="AG21"/>
  <c r="AI21"/>
  <c r="AK21"/>
  <c r="E22"/>
  <c r="I22"/>
  <c r="Q22"/>
  <c r="U22"/>
  <c r="Y22"/>
  <c r="AC22"/>
  <c r="AG22"/>
  <c r="AK22"/>
  <c r="C23"/>
  <c r="E23"/>
  <c r="I23"/>
  <c r="K23"/>
  <c r="Q23"/>
  <c r="S23"/>
  <c r="U23"/>
  <c r="Y23"/>
  <c r="AA23"/>
  <c r="AC23"/>
  <c r="AE23"/>
  <c r="AG23"/>
  <c r="AI23"/>
  <c r="AK23"/>
  <c r="F26"/>
  <c r="B27"/>
  <c r="C16" s="1"/>
  <c r="B28"/>
  <c r="C11" s="1"/>
  <c r="B29"/>
  <c r="C7" s="1"/>
  <c r="B30"/>
  <c r="C5" s="1"/>
  <c r="B33"/>
  <c r="G18" s="1"/>
  <c r="F33"/>
  <c r="B34"/>
  <c r="G7" s="1"/>
  <c r="B35"/>
  <c r="G5" s="1"/>
  <c r="B36"/>
  <c r="G9" s="1"/>
  <c r="B40"/>
  <c r="K9" s="1"/>
  <c r="D40"/>
  <c r="B41"/>
  <c r="K7" s="1"/>
  <c r="D41"/>
  <c r="B42"/>
  <c r="K5" s="1"/>
  <c r="D42"/>
  <c r="B43"/>
  <c r="K16" s="1"/>
  <c r="B46"/>
  <c r="D46"/>
  <c r="B47"/>
  <c r="D47"/>
  <c r="B48"/>
  <c r="M19" s="1"/>
  <c r="D48"/>
  <c r="B49"/>
  <c r="M6" s="1"/>
  <c r="F51"/>
  <c r="B52"/>
  <c r="O13" s="1"/>
  <c r="D52"/>
  <c r="B53"/>
  <c r="O11" s="1"/>
  <c r="D53"/>
  <c r="B54"/>
  <c r="O7" s="1"/>
  <c r="D54"/>
  <c r="B55"/>
  <c r="O5" s="1"/>
  <c r="F57"/>
  <c r="B58"/>
  <c r="S16" s="1"/>
  <c r="B59"/>
  <c r="S5" s="1"/>
  <c r="B60"/>
  <c r="S7" s="1"/>
  <c r="B61"/>
  <c r="S13" s="1"/>
  <c r="F63"/>
  <c r="B64"/>
  <c r="W16" s="1"/>
  <c r="B65"/>
  <c r="W7" s="1"/>
  <c r="B66"/>
  <c r="W5" s="1"/>
  <c r="B67"/>
  <c r="W13" s="1"/>
  <c r="F69"/>
  <c r="B70"/>
  <c r="AA16" s="1"/>
  <c r="B71"/>
  <c r="AA11" s="1"/>
  <c r="B72"/>
  <c r="AA5" s="1"/>
  <c r="B73"/>
  <c r="AA13" s="1"/>
  <c r="F75"/>
  <c r="B76"/>
  <c r="AE14" s="1"/>
  <c r="D76"/>
  <c r="B77"/>
  <c r="AE7" s="1"/>
  <c r="D77"/>
  <c r="B78"/>
  <c r="AE9" s="1"/>
  <c r="D78"/>
  <c r="B79"/>
  <c r="AE5" s="1"/>
  <c r="F81"/>
  <c r="B82"/>
  <c r="AI7" s="1"/>
  <c r="D82"/>
  <c r="B83"/>
  <c r="AI14" s="1"/>
  <c r="D83"/>
  <c r="B84"/>
  <c r="AI5" s="1"/>
  <c r="D84"/>
  <c r="B85"/>
  <c r="AI13" s="1"/>
  <c r="L87"/>
  <c r="M4" s="1"/>
  <c r="E4" i="32"/>
  <c r="I4"/>
  <c r="Q4"/>
  <c r="U4"/>
  <c r="Y4"/>
  <c r="AC4"/>
  <c r="AG4"/>
  <c r="AK4"/>
  <c r="E5"/>
  <c r="I5"/>
  <c r="Q5"/>
  <c r="U5"/>
  <c r="Y5"/>
  <c r="AC5"/>
  <c r="AG5"/>
  <c r="AK5"/>
  <c r="E6"/>
  <c r="I6"/>
  <c r="Q6"/>
  <c r="U6"/>
  <c r="Y6"/>
  <c r="AC6"/>
  <c r="AG6"/>
  <c r="AK6"/>
  <c r="E7"/>
  <c r="I7"/>
  <c r="Q7"/>
  <c r="U7"/>
  <c r="Y7"/>
  <c r="AC7"/>
  <c r="AG7"/>
  <c r="AK7"/>
  <c r="E8"/>
  <c r="I8"/>
  <c r="Q8"/>
  <c r="U8"/>
  <c r="Y8"/>
  <c r="AC8"/>
  <c r="AG8"/>
  <c r="AK8"/>
  <c r="E9"/>
  <c r="I9"/>
  <c r="Q9"/>
  <c r="U9"/>
  <c r="Y9"/>
  <c r="AC9"/>
  <c r="AG9"/>
  <c r="AK9"/>
  <c r="E10"/>
  <c r="I10"/>
  <c r="Q10"/>
  <c r="U10"/>
  <c r="Y10"/>
  <c r="AC10"/>
  <c r="AG10"/>
  <c r="AK10"/>
  <c r="E11"/>
  <c r="I11"/>
  <c r="Q11"/>
  <c r="U11"/>
  <c r="Y11"/>
  <c r="AC11"/>
  <c r="AG11"/>
  <c r="AK11"/>
  <c r="E12"/>
  <c r="I12"/>
  <c r="Q12"/>
  <c r="U12"/>
  <c r="Y12"/>
  <c r="AC12"/>
  <c r="AG12"/>
  <c r="AK12"/>
  <c r="E13"/>
  <c r="I13"/>
  <c r="Q13"/>
  <c r="U13"/>
  <c r="Y13"/>
  <c r="AC13"/>
  <c r="AG13"/>
  <c r="AK13"/>
  <c r="E14"/>
  <c r="I14"/>
  <c r="Q14"/>
  <c r="U14"/>
  <c r="Y14"/>
  <c r="AC14"/>
  <c r="AG14"/>
  <c r="AK14"/>
  <c r="E15"/>
  <c r="I15"/>
  <c r="M15"/>
  <c r="Q15"/>
  <c r="U15"/>
  <c r="Y15"/>
  <c r="AC15"/>
  <c r="AG15"/>
  <c r="AK15"/>
  <c r="F18"/>
  <c r="B19"/>
  <c r="C11" s="1"/>
  <c r="B20"/>
  <c r="C14" s="1"/>
  <c r="B21"/>
  <c r="C7" s="1"/>
  <c r="B22"/>
  <c r="C5" s="1"/>
  <c r="B25"/>
  <c r="G11" s="1"/>
  <c r="F25"/>
  <c r="B26"/>
  <c r="G7" s="1"/>
  <c r="B27"/>
  <c r="G9" s="1"/>
  <c r="B28"/>
  <c r="G5" s="1"/>
  <c r="B32"/>
  <c r="K7" s="1"/>
  <c r="D32"/>
  <c r="B33"/>
  <c r="K11" s="1"/>
  <c r="D33"/>
  <c r="B34"/>
  <c r="K14" s="1"/>
  <c r="D34"/>
  <c r="B35"/>
  <c r="K5" s="1"/>
  <c r="B38"/>
  <c r="M6" s="1"/>
  <c r="D38"/>
  <c r="B39"/>
  <c r="M8" s="1"/>
  <c r="D39"/>
  <c r="B40"/>
  <c r="M5" s="1"/>
  <c r="D40"/>
  <c r="B41"/>
  <c r="M4" s="1"/>
  <c r="F43"/>
  <c r="B44"/>
  <c r="O11" s="1"/>
  <c r="D44"/>
  <c r="B45"/>
  <c r="O12" s="1"/>
  <c r="D45"/>
  <c r="B46"/>
  <c r="O5" s="1"/>
  <c r="D46"/>
  <c r="B47"/>
  <c r="O6" s="1"/>
  <c r="F49"/>
  <c r="B50"/>
  <c r="S11" s="1"/>
  <c r="B51"/>
  <c r="S12" s="1"/>
  <c r="B52"/>
  <c r="S7" s="1"/>
  <c r="B53"/>
  <c r="S5" s="1"/>
  <c r="F55"/>
  <c r="B56"/>
  <c r="W11" s="1"/>
  <c r="B57"/>
  <c r="W7" s="1"/>
  <c r="B58"/>
  <c r="W6" s="1"/>
  <c r="B59"/>
  <c r="W5" s="1"/>
  <c r="F61"/>
  <c r="B62"/>
  <c r="AA11" s="1"/>
  <c r="B63"/>
  <c r="AA7" s="1"/>
  <c r="B64"/>
  <c r="AA6" s="1"/>
  <c r="B65"/>
  <c r="AA5" s="1"/>
  <c r="F67"/>
  <c r="B68"/>
  <c r="AE11" s="1"/>
  <c r="D68"/>
  <c r="B69"/>
  <c r="AE7" s="1"/>
  <c r="D69"/>
  <c r="B70"/>
  <c r="AE6" s="1"/>
  <c r="D70"/>
  <c r="B71"/>
  <c r="AE5" s="1"/>
  <c r="F73"/>
  <c r="B74"/>
  <c r="AI11" s="1"/>
  <c r="D74"/>
  <c r="B75"/>
  <c r="AI7" s="1"/>
  <c r="D75"/>
  <c r="B76"/>
  <c r="AI14" s="1"/>
  <c r="D76"/>
  <c r="B77"/>
  <c r="AI5" s="1"/>
  <c r="L79"/>
  <c r="E4" i="31"/>
  <c r="I4"/>
  <c r="K4"/>
  <c r="M4"/>
  <c r="Q4"/>
  <c r="U4"/>
  <c r="Y4"/>
  <c r="AC4"/>
  <c r="AG4"/>
  <c r="AK4"/>
  <c r="E5"/>
  <c r="I5"/>
  <c r="K5"/>
  <c r="M5"/>
  <c r="Q5"/>
  <c r="U5"/>
  <c r="Y5"/>
  <c r="AC5"/>
  <c r="AG5"/>
  <c r="AK5"/>
  <c r="E6"/>
  <c r="I6"/>
  <c r="K6"/>
  <c r="M6"/>
  <c r="Q6"/>
  <c r="U6"/>
  <c r="Y6"/>
  <c r="AC6"/>
  <c r="AG6"/>
  <c r="AK6"/>
  <c r="E7"/>
  <c r="I7"/>
  <c r="K7"/>
  <c r="M7"/>
  <c r="Q7"/>
  <c r="U7"/>
  <c r="Y7"/>
  <c r="AC7"/>
  <c r="AG7"/>
  <c r="AK7"/>
  <c r="E8"/>
  <c r="I8"/>
  <c r="K8"/>
  <c r="M8"/>
  <c r="Q8"/>
  <c r="U8"/>
  <c r="Y8"/>
  <c r="AC8"/>
  <c r="AG8"/>
  <c r="AK8"/>
  <c r="E9"/>
  <c r="I9"/>
  <c r="K9"/>
  <c r="M9"/>
  <c r="Q9"/>
  <c r="U9"/>
  <c r="Y9"/>
  <c r="AC9"/>
  <c r="AG9"/>
  <c r="AK9"/>
  <c r="E10"/>
  <c r="I10"/>
  <c r="K10"/>
  <c r="M10"/>
  <c r="Q10"/>
  <c r="U10"/>
  <c r="Y10"/>
  <c r="AC10"/>
  <c r="AG10"/>
  <c r="AK10"/>
  <c r="E11"/>
  <c r="I11"/>
  <c r="K11"/>
  <c r="M11"/>
  <c r="Q11"/>
  <c r="U11"/>
  <c r="Y11"/>
  <c r="AC11"/>
  <c r="AG11"/>
  <c r="AK11"/>
  <c r="E12"/>
  <c r="I12"/>
  <c r="K12"/>
  <c r="M12"/>
  <c r="Q12"/>
  <c r="U12"/>
  <c r="Y12"/>
  <c r="AC12"/>
  <c r="AG12"/>
  <c r="AK12"/>
  <c r="E13"/>
  <c r="I13"/>
  <c r="K13"/>
  <c r="M13"/>
  <c r="Q13"/>
  <c r="U13"/>
  <c r="Y13"/>
  <c r="AC13"/>
  <c r="AG13"/>
  <c r="AK13"/>
  <c r="E14"/>
  <c r="I14"/>
  <c r="K14"/>
  <c r="M14"/>
  <c r="Q14"/>
  <c r="U14"/>
  <c r="Y14"/>
  <c r="AC14"/>
  <c r="AG14"/>
  <c r="AK14"/>
  <c r="E15"/>
  <c r="I15"/>
  <c r="K15"/>
  <c r="M15"/>
  <c r="Q15"/>
  <c r="U15"/>
  <c r="Y15"/>
  <c r="AC15"/>
  <c r="AG15"/>
  <c r="AK15"/>
  <c r="F18"/>
  <c r="B19"/>
  <c r="C11" s="1"/>
  <c r="B20"/>
  <c r="C4" s="1"/>
  <c r="B21"/>
  <c r="C7" s="1"/>
  <c r="B22"/>
  <c r="C5" s="1"/>
  <c r="B25"/>
  <c r="G4" s="1"/>
  <c r="F25"/>
  <c r="B26"/>
  <c r="G7" s="1"/>
  <c r="B27"/>
  <c r="G5" s="1"/>
  <c r="B28"/>
  <c r="G11" s="1"/>
  <c r="D32"/>
  <c r="D33"/>
  <c r="D34"/>
  <c r="D38"/>
  <c r="D39"/>
  <c r="D40"/>
  <c r="F43"/>
  <c r="B44"/>
  <c r="O11" s="1"/>
  <c r="D44"/>
  <c r="B45"/>
  <c r="O9" s="1"/>
  <c r="D45"/>
  <c r="B46"/>
  <c r="O7" s="1"/>
  <c r="D46"/>
  <c r="B47"/>
  <c r="O5" s="1"/>
  <c r="F49"/>
  <c r="B50"/>
  <c r="B51"/>
  <c r="S11" s="1"/>
  <c r="B52"/>
  <c r="S7" s="1"/>
  <c r="B53"/>
  <c r="S5" s="1"/>
  <c r="F55"/>
  <c r="B56"/>
  <c r="B57"/>
  <c r="W7" s="1"/>
  <c r="B58"/>
  <c r="W13" s="1"/>
  <c r="B59"/>
  <c r="W5" s="1"/>
  <c r="F61"/>
  <c r="B62"/>
  <c r="B63"/>
  <c r="AA11" s="1"/>
  <c r="B64"/>
  <c r="AA7" s="1"/>
  <c r="B65"/>
  <c r="AA5" s="1"/>
  <c r="F67"/>
  <c r="B68"/>
  <c r="AE9" s="1"/>
  <c r="D68"/>
  <c r="B69"/>
  <c r="AE15" s="1"/>
  <c r="D69"/>
  <c r="B70"/>
  <c r="AE7" s="1"/>
  <c r="D70"/>
  <c r="B71"/>
  <c r="AE5" s="1"/>
  <c r="F73"/>
  <c r="B74"/>
  <c r="AI11" s="1"/>
  <c r="D74"/>
  <c r="B75"/>
  <c r="AI7" s="1"/>
  <c r="D75"/>
  <c r="B76"/>
  <c r="AI13" s="1"/>
  <c r="D76"/>
  <c r="B77"/>
  <c r="AI5" s="1"/>
  <c r="L79"/>
  <c r="E4" i="29"/>
  <c r="I4"/>
  <c r="O4"/>
  <c r="Q4"/>
  <c r="U4"/>
  <c r="Y4"/>
  <c r="AC4"/>
  <c r="AG4"/>
  <c r="AK4"/>
  <c r="E5"/>
  <c r="I5"/>
  <c r="O5"/>
  <c r="Q5"/>
  <c r="U5"/>
  <c r="Y5"/>
  <c r="AC5"/>
  <c r="AG5"/>
  <c r="AK5"/>
  <c r="E6"/>
  <c r="I6"/>
  <c r="O6"/>
  <c r="Q6"/>
  <c r="U6"/>
  <c r="Y6"/>
  <c r="AC6"/>
  <c r="AG6"/>
  <c r="AK6"/>
  <c r="E7"/>
  <c r="I7"/>
  <c r="O7"/>
  <c r="Q7"/>
  <c r="U7"/>
  <c r="Y7"/>
  <c r="AC7"/>
  <c r="AG7"/>
  <c r="AK7"/>
  <c r="E8"/>
  <c r="I8"/>
  <c r="O8"/>
  <c r="Q8"/>
  <c r="U8"/>
  <c r="Y8"/>
  <c r="AC8"/>
  <c r="AG8"/>
  <c r="AK8"/>
  <c r="E9"/>
  <c r="I9"/>
  <c r="O9"/>
  <c r="Q9"/>
  <c r="U9"/>
  <c r="Y9"/>
  <c r="AC9"/>
  <c r="AG9"/>
  <c r="AK9"/>
  <c r="E10"/>
  <c r="G10"/>
  <c r="I10"/>
  <c r="O10"/>
  <c r="Q10"/>
  <c r="U10"/>
  <c r="W10"/>
  <c r="Y10"/>
  <c r="AC10"/>
  <c r="AG10"/>
  <c r="AK10"/>
  <c r="E11"/>
  <c r="I11"/>
  <c r="M11"/>
  <c r="O11"/>
  <c r="Q11"/>
  <c r="U11"/>
  <c r="Y11"/>
  <c r="AC11"/>
  <c r="AG11"/>
  <c r="AK11"/>
  <c r="E12"/>
  <c r="I12"/>
  <c r="O12"/>
  <c r="Q12"/>
  <c r="U12"/>
  <c r="W12"/>
  <c r="Y12"/>
  <c r="AC12"/>
  <c r="AG12"/>
  <c r="AK12"/>
  <c r="E13"/>
  <c r="I13"/>
  <c r="M13"/>
  <c r="O13"/>
  <c r="Q13"/>
  <c r="U13"/>
  <c r="Y13"/>
  <c r="AC13"/>
  <c r="AG13"/>
  <c r="AK13"/>
  <c r="F16"/>
  <c r="B17"/>
  <c r="B18"/>
  <c r="B19"/>
  <c r="C9" s="1"/>
  <c r="B20"/>
  <c r="C5" s="1"/>
  <c r="B23"/>
  <c r="G4" s="1"/>
  <c r="F23"/>
  <c r="B24"/>
  <c r="G9" s="1"/>
  <c r="B25"/>
  <c r="G7" s="1"/>
  <c r="B26"/>
  <c r="G5" s="1"/>
  <c r="B30"/>
  <c r="K7" s="1"/>
  <c r="E30"/>
  <c r="B31"/>
  <c r="K11" s="1"/>
  <c r="E31"/>
  <c r="B32"/>
  <c r="K5" s="1"/>
  <c r="E32"/>
  <c r="B33"/>
  <c r="K9" s="1"/>
  <c r="B36"/>
  <c r="M12" s="1"/>
  <c r="E36"/>
  <c r="B37"/>
  <c r="M6" s="1"/>
  <c r="E37"/>
  <c r="B38"/>
  <c r="M5" s="1"/>
  <c r="E38"/>
  <c r="B39"/>
  <c r="M4" s="1"/>
  <c r="F41"/>
  <c r="E42"/>
  <c r="E43"/>
  <c r="E44"/>
  <c r="F47"/>
  <c r="B48"/>
  <c r="B49"/>
  <c r="B50"/>
  <c r="S7" s="1"/>
  <c r="B51"/>
  <c r="S5" s="1"/>
  <c r="F53"/>
  <c r="B54"/>
  <c r="B55"/>
  <c r="B56"/>
  <c r="W7" s="1"/>
  <c r="B57"/>
  <c r="W5" s="1"/>
  <c r="F59"/>
  <c r="B60"/>
  <c r="B61"/>
  <c r="B62"/>
  <c r="AA9" s="1"/>
  <c r="B63"/>
  <c r="AA5" s="1"/>
  <c r="F65"/>
  <c r="B66"/>
  <c r="AE9" s="1"/>
  <c r="E66"/>
  <c r="B67"/>
  <c r="AE7" s="1"/>
  <c r="E67"/>
  <c r="B68"/>
  <c r="AE11" s="1"/>
  <c r="E68"/>
  <c r="B69"/>
  <c r="AE5" s="1"/>
  <c r="F71"/>
  <c r="B72"/>
  <c r="AI7" s="1"/>
  <c r="E72"/>
  <c r="B73"/>
  <c r="AI8" s="1"/>
  <c r="E73"/>
  <c r="B74"/>
  <c r="AI6" s="1"/>
  <c r="E74"/>
  <c r="B75"/>
  <c r="AI5" s="1"/>
  <c r="L77"/>
  <c r="AL84"/>
  <c r="AL85"/>
  <c r="AL86"/>
  <c r="AL87"/>
  <c r="AL88"/>
  <c r="AL89"/>
  <c r="AL90"/>
  <c r="AL91"/>
  <c r="E4" i="28"/>
  <c r="I4"/>
  <c r="O4"/>
  <c r="Q4"/>
  <c r="U4"/>
  <c r="Y4"/>
  <c r="AC4"/>
  <c r="AG4"/>
  <c r="AK4"/>
  <c r="E5"/>
  <c r="I5"/>
  <c r="Q5"/>
  <c r="U5"/>
  <c r="Y5"/>
  <c r="AC5"/>
  <c r="AG5"/>
  <c r="AK5"/>
  <c r="E6"/>
  <c r="I6"/>
  <c r="O6"/>
  <c r="Q6"/>
  <c r="U6"/>
  <c r="Y6"/>
  <c r="AC6"/>
  <c r="AG6"/>
  <c r="AK6"/>
  <c r="E7"/>
  <c r="I7"/>
  <c r="O7"/>
  <c r="Q7"/>
  <c r="U7"/>
  <c r="Y7"/>
  <c r="AC7"/>
  <c r="AG7"/>
  <c r="AK7"/>
  <c r="E8"/>
  <c r="I8"/>
  <c r="O8"/>
  <c r="Q8"/>
  <c r="U8"/>
  <c r="Y8"/>
  <c r="AC8"/>
  <c r="AG8"/>
  <c r="AK8"/>
  <c r="E9"/>
  <c r="I9"/>
  <c r="O9"/>
  <c r="Q9"/>
  <c r="U9"/>
  <c r="Y9"/>
  <c r="AC9"/>
  <c r="AG9"/>
  <c r="AK9"/>
  <c r="E10"/>
  <c r="I10"/>
  <c r="O10"/>
  <c r="Q10"/>
  <c r="U10"/>
  <c r="Y10"/>
  <c r="AC10"/>
  <c r="AG10"/>
  <c r="AK10"/>
  <c r="E11"/>
  <c r="I11"/>
  <c r="O11"/>
  <c r="Q11"/>
  <c r="U11"/>
  <c r="Y11"/>
  <c r="AC11"/>
  <c r="AG11"/>
  <c r="AK11"/>
  <c r="E12"/>
  <c r="I12"/>
  <c r="O12"/>
  <c r="Q12"/>
  <c r="U12"/>
  <c r="Y12"/>
  <c r="AC12"/>
  <c r="AG12"/>
  <c r="AK12"/>
  <c r="C13"/>
  <c r="E13"/>
  <c r="G13"/>
  <c r="I13"/>
  <c r="Q13"/>
  <c r="U13"/>
  <c r="Y13"/>
  <c r="AC13"/>
  <c r="AG13"/>
  <c r="AK13"/>
  <c r="F16"/>
  <c r="B17"/>
  <c r="C12" s="1"/>
  <c r="B18"/>
  <c r="B19"/>
  <c r="C5" s="1"/>
  <c r="B20"/>
  <c r="C6" s="1"/>
  <c r="B23"/>
  <c r="G12" s="1"/>
  <c r="F23"/>
  <c r="B24"/>
  <c r="G5" s="1"/>
  <c r="B25"/>
  <c r="G8" s="1"/>
  <c r="B26"/>
  <c r="G6" s="1"/>
  <c r="B30"/>
  <c r="K4" s="1"/>
  <c r="D30"/>
  <c r="B31"/>
  <c r="K8" s="1"/>
  <c r="D31"/>
  <c r="B32"/>
  <c r="K6" s="1"/>
  <c r="D32"/>
  <c r="B33"/>
  <c r="K12" s="1"/>
  <c r="B36"/>
  <c r="M4" s="1"/>
  <c r="D36"/>
  <c r="B37"/>
  <c r="M9" s="1"/>
  <c r="D37"/>
  <c r="B38"/>
  <c r="M11" s="1"/>
  <c r="D38"/>
  <c r="B39"/>
  <c r="M7" s="1"/>
  <c r="F41"/>
  <c r="D42"/>
  <c r="D43"/>
  <c r="D44"/>
  <c r="F47"/>
  <c r="B48"/>
  <c r="S12" s="1"/>
  <c r="B49"/>
  <c r="S5" s="1"/>
  <c r="B50"/>
  <c r="S8" s="1"/>
  <c r="B51"/>
  <c r="S6" s="1"/>
  <c r="F53"/>
  <c r="B54"/>
  <c r="W12" s="1"/>
  <c r="B55"/>
  <c r="W5" s="1"/>
  <c r="B56"/>
  <c r="W8" s="1"/>
  <c r="B57"/>
  <c r="W6" s="1"/>
  <c r="F59"/>
  <c r="B60"/>
  <c r="AA12" s="1"/>
  <c r="B61"/>
  <c r="AA5" s="1"/>
  <c r="B62"/>
  <c r="AA13" s="1"/>
  <c r="B63"/>
  <c r="AA6" s="1"/>
  <c r="F65"/>
  <c r="B66"/>
  <c r="AE12" s="1"/>
  <c r="D66"/>
  <c r="B67"/>
  <c r="AE8" s="1"/>
  <c r="D67"/>
  <c r="B68"/>
  <c r="AE7" s="1"/>
  <c r="D68"/>
  <c r="B69"/>
  <c r="AE6" s="1"/>
  <c r="F71"/>
  <c r="B72"/>
  <c r="AI12" s="1"/>
  <c r="D72"/>
  <c r="B73"/>
  <c r="AI9" s="1"/>
  <c r="D73"/>
  <c r="B74"/>
  <c r="AI8" s="1"/>
  <c r="D74"/>
  <c r="B75"/>
  <c r="AI6" s="1"/>
  <c r="L77"/>
  <c r="AL84"/>
  <c r="AL85"/>
  <c r="AL86"/>
  <c r="AL87"/>
  <c r="AL88"/>
  <c r="AL89"/>
  <c r="AL90"/>
  <c r="AL91"/>
  <c r="AL92"/>
  <c r="AL93"/>
  <c r="E4" i="26"/>
  <c r="I4"/>
  <c r="O4"/>
  <c r="Q4"/>
  <c r="U4"/>
  <c r="Y4"/>
  <c r="AC4"/>
  <c r="AG4"/>
  <c r="AK4"/>
  <c r="E5"/>
  <c r="I5"/>
  <c r="O5"/>
  <c r="Q5"/>
  <c r="U5"/>
  <c r="Y5"/>
  <c r="AC5"/>
  <c r="AG5"/>
  <c r="AK5"/>
  <c r="E6"/>
  <c r="I6"/>
  <c r="O6"/>
  <c r="Q6"/>
  <c r="U6"/>
  <c r="Y6"/>
  <c r="AC6"/>
  <c r="AG6"/>
  <c r="AK6"/>
  <c r="E7"/>
  <c r="I7"/>
  <c r="O7"/>
  <c r="Q7"/>
  <c r="U7"/>
  <c r="Y7"/>
  <c r="AC7"/>
  <c r="AG7"/>
  <c r="AK7"/>
  <c r="E8"/>
  <c r="I8"/>
  <c r="O8"/>
  <c r="Q8"/>
  <c r="U8"/>
  <c r="Y8"/>
  <c r="AC8"/>
  <c r="AG8"/>
  <c r="AK8"/>
  <c r="E9"/>
  <c r="I9"/>
  <c r="O9"/>
  <c r="Q9"/>
  <c r="U9"/>
  <c r="Y9"/>
  <c r="AC9"/>
  <c r="AG9"/>
  <c r="AK9"/>
  <c r="E10"/>
  <c r="I10"/>
  <c r="O10"/>
  <c r="Q10"/>
  <c r="U10"/>
  <c r="Y10"/>
  <c r="AC10"/>
  <c r="AG10"/>
  <c r="AK10"/>
  <c r="E11"/>
  <c r="I11"/>
  <c r="O11"/>
  <c r="Q11"/>
  <c r="U11"/>
  <c r="Y11"/>
  <c r="AC11"/>
  <c r="AG11"/>
  <c r="AK11"/>
  <c r="E12"/>
  <c r="I12"/>
  <c r="O12"/>
  <c r="Q12"/>
  <c r="U12"/>
  <c r="Y12"/>
  <c r="AC12"/>
  <c r="AG12"/>
  <c r="AK12"/>
  <c r="E13"/>
  <c r="I13"/>
  <c r="M13"/>
  <c r="O13"/>
  <c r="Q13"/>
  <c r="U13"/>
  <c r="Y13"/>
  <c r="AC13"/>
  <c r="AG13"/>
  <c r="AK13"/>
  <c r="B17"/>
  <c r="C13" s="1"/>
  <c r="B18"/>
  <c r="C7" s="1"/>
  <c r="B19"/>
  <c r="C5" s="1"/>
  <c r="B20"/>
  <c r="C9" s="1"/>
  <c r="B23"/>
  <c r="G7" s="1"/>
  <c r="B24"/>
  <c r="G5" s="1"/>
  <c r="B25"/>
  <c r="G11" s="1"/>
  <c r="B26"/>
  <c r="G9" s="1"/>
  <c r="B30"/>
  <c r="K13" s="1"/>
  <c r="B31"/>
  <c r="K6" s="1"/>
  <c r="B32"/>
  <c r="K5" s="1"/>
  <c r="B33"/>
  <c r="K9" s="1"/>
  <c r="B36"/>
  <c r="M6" s="1"/>
  <c r="B37"/>
  <c r="M8" s="1"/>
  <c r="B38"/>
  <c r="M4" s="1"/>
  <c r="B39"/>
  <c r="M12" s="1"/>
  <c r="B48"/>
  <c r="S13" s="1"/>
  <c r="B49"/>
  <c r="B50"/>
  <c r="B51"/>
  <c r="S5" s="1"/>
  <c r="B54"/>
  <c r="W7" s="1"/>
  <c r="B55"/>
  <c r="B56"/>
  <c r="B57"/>
  <c r="W5" s="1"/>
  <c r="B60"/>
  <c r="AA13" s="1"/>
  <c r="B61"/>
  <c r="AA7" s="1"/>
  <c r="B62"/>
  <c r="AA5" s="1"/>
  <c r="B63"/>
  <c r="AA9" s="1"/>
  <c r="B66"/>
  <c r="AE13" s="1"/>
  <c r="D66"/>
  <c r="B67"/>
  <c r="AE7" s="1"/>
  <c r="D67"/>
  <c r="B68"/>
  <c r="AE5" s="1"/>
  <c r="D68"/>
  <c r="B69"/>
  <c r="AE9" s="1"/>
  <c r="B72"/>
  <c r="AI7" s="1"/>
  <c r="D72"/>
  <c r="B73"/>
  <c r="AI6" s="1"/>
  <c r="D73"/>
  <c r="B74"/>
  <c r="AI5" s="1"/>
  <c r="D74"/>
  <c r="B75"/>
  <c r="AI9" s="1"/>
  <c r="L77"/>
  <c r="AM85"/>
  <c r="AM86"/>
  <c r="AM87"/>
  <c r="AM88"/>
  <c r="AM90"/>
  <c r="AM91"/>
  <c r="AM92"/>
  <c r="AM93"/>
  <c r="AM94"/>
  <c r="E4" i="25"/>
  <c r="I4"/>
  <c r="O4"/>
  <c r="Q4"/>
  <c r="U4"/>
  <c r="Y4"/>
  <c r="AC4"/>
  <c r="AG4"/>
  <c r="AK4"/>
  <c r="E5"/>
  <c r="I5"/>
  <c r="O5"/>
  <c r="Q5"/>
  <c r="U5"/>
  <c r="Y5"/>
  <c r="AC5"/>
  <c r="AG5"/>
  <c r="AK5"/>
  <c r="E6"/>
  <c r="I6"/>
  <c r="O6"/>
  <c r="Q6"/>
  <c r="U6"/>
  <c r="Y6"/>
  <c r="AC6"/>
  <c r="AG6"/>
  <c r="AK6"/>
  <c r="E7"/>
  <c r="I7"/>
  <c r="O7"/>
  <c r="Q7"/>
  <c r="U7"/>
  <c r="Y7"/>
  <c r="AC7"/>
  <c r="AG7"/>
  <c r="AK7"/>
  <c r="E8"/>
  <c r="I8"/>
  <c r="O8"/>
  <c r="Q8"/>
  <c r="U8"/>
  <c r="Y8"/>
  <c r="AC8"/>
  <c r="AG8"/>
  <c r="AK8"/>
  <c r="E9"/>
  <c r="I9"/>
  <c r="O9"/>
  <c r="Q9"/>
  <c r="U9"/>
  <c r="Y9"/>
  <c r="AC9"/>
  <c r="AG9"/>
  <c r="AK9"/>
  <c r="E10"/>
  <c r="I10"/>
  <c r="O10"/>
  <c r="Q10"/>
  <c r="U10"/>
  <c r="Y10"/>
  <c r="AC10"/>
  <c r="AG10"/>
  <c r="AK10"/>
  <c r="E11"/>
  <c r="I11"/>
  <c r="O11"/>
  <c r="Q11"/>
  <c r="U11"/>
  <c r="Y11"/>
  <c r="AC11"/>
  <c r="AG11"/>
  <c r="AK11"/>
  <c r="E12"/>
  <c r="I12"/>
  <c r="O12"/>
  <c r="Q12"/>
  <c r="U12"/>
  <c r="Y12"/>
  <c r="AC12"/>
  <c r="AG12"/>
  <c r="AK12"/>
  <c r="E13"/>
  <c r="I13"/>
  <c r="M13"/>
  <c r="O13"/>
  <c r="Q13"/>
  <c r="U13"/>
  <c r="Y13"/>
  <c r="AC13"/>
  <c r="AG13"/>
  <c r="AK13"/>
  <c r="B17"/>
  <c r="C13" s="1"/>
  <c r="B18"/>
  <c r="B19"/>
  <c r="C5" s="1"/>
  <c r="B20"/>
  <c r="C7" s="1"/>
  <c r="B23"/>
  <c r="G13" s="1"/>
  <c r="B24"/>
  <c r="G5" s="1"/>
  <c r="B25"/>
  <c r="G7" s="1"/>
  <c r="B26"/>
  <c r="G9" s="1"/>
  <c r="B30"/>
  <c r="K13" s="1"/>
  <c r="E30"/>
  <c r="B31"/>
  <c r="K5" s="1"/>
  <c r="E31"/>
  <c r="B32"/>
  <c r="K7" s="1"/>
  <c r="E32"/>
  <c r="B33"/>
  <c r="K9" s="1"/>
  <c r="B36"/>
  <c r="M8" s="1"/>
  <c r="E36"/>
  <c r="B37"/>
  <c r="M4" s="1"/>
  <c r="E37"/>
  <c r="B38"/>
  <c r="M6" s="1"/>
  <c r="E38"/>
  <c r="B39"/>
  <c r="M10" s="1"/>
  <c r="E42"/>
  <c r="E43"/>
  <c r="E44"/>
  <c r="B48"/>
  <c r="B49"/>
  <c r="S13" s="1"/>
  <c r="B50"/>
  <c r="S5" s="1"/>
  <c r="B51"/>
  <c r="S9" s="1"/>
  <c r="B54"/>
  <c r="W13" s="1"/>
  <c r="B55"/>
  <c r="W5" s="1"/>
  <c r="B56"/>
  <c r="W4" s="1"/>
  <c r="B57"/>
  <c r="W7" s="1"/>
  <c r="B60"/>
  <c r="AA13" s="1"/>
  <c r="B61"/>
  <c r="AA6" s="1"/>
  <c r="B62"/>
  <c r="AA5" s="1"/>
  <c r="B63"/>
  <c r="AA7" s="1"/>
  <c r="B66"/>
  <c r="AE7" s="1"/>
  <c r="E66"/>
  <c r="B67"/>
  <c r="AE5" s="1"/>
  <c r="E67"/>
  <c r="B68"/>
  <c r="AE4" s="1"/>
  <c r="E68"/>
  <c r="B69"/>
  <c r="AE9" s="1"/>
  <c r="B72"/>
  <c r="AI13" s="1"/>
  <c r="E72"/>
  <c r="B73"/>
  <c r="AI5" s="1"/>
  <c r="E73"/>
  <c r="B74"/>
  <c r="AI7" s="1"/>
  <c r="E74"/>
  <c r="B75"/>
  <c r="AI9" s="1"/>
  <c r="L77"/>
  <c r="AL84"/>
  <c r="AL85"/>
  <c r="AL86"/>
  <c r="AL87"/>
  <c r="AL88"/>
  <c r="AL89"/>
  <c r="AL90"/>
  <c r="AL91"/>
  <c r="AL92"/>
  <c r="AL93"/>
  <c r="E4" i="23"/>
  <c r="G4"/>
  <c r="I4"/>
  <c r="J4"/>
  <c r="K4" s="1"/>
  <c r="L4"/>
  <c r="M4" s="1"/>
  <c r="Q4"/>
  <c r="U4"/>
  <c r="Y4"/>
  <c r="AC4"/>
  <c r="AD4"/>
  <c r="AE4" s="1"/>
  <c r="AF4"/>
  <c r="AG4" s="1"/>
  <c r="AH4"/>
  <c r="AI4" s="1"/>
  <c r="AJ4"/>
  <c r="AK4" s="1"/>
  <c r="E5"/>
  <c r="G5"/>
  <c r="I5"/>
  <c r="J5"/>
  <c r="L5"/>
  <c r="Q5"/>
  <c r="U5"/>
  <c r="Y5"/>
  <c r="AC5"/>
  <c r="AD5"/>
  <c r="AF5"/>
  <c r="AG5"/>
  <c r="AH5"/>
  <c r="AJ5"/>
  <c r="AK5"/>
  <c r="E6"/>
  <c r="G6"/>
  <c r="I6"/>
  <c r="J6"/>
  <c r="K6" s="1"/>
  <c r="L6"/>
  <c r="M6" s="1"/>
  <c r="Q6"/>
  <c r="U6"/>
  <c r="Y6"/>
  <c r="AC6"/>
  <c r="AD6"/>
  <c r="AE6" s="1"/>
  <c r="AF6"/>
  <c r="AG6" s="1"/>
  <c r="AH6"/>
  <c r="AI6" s="1"/>
  <c r="AJ6"/>
  <c r="AK6" s="1"/>
  <c r="E7"/>
  <c r="G7"/>
  <c r="I7"/>
  <c r="J7"/>
  <c r="L7"/>
  <c r="Q7"/>
  <c r="U7"/>
  <c r="Y7"/>
  <c r="AC7"/>
  <c r="AD7"/>
  <c r="AF7"/>
  <c r="AG7"/>
  <c r="AH7"/>
  <c r="AJ7"/>
  <c r="AK7"/>
  <c r="E8"/>
  <c r="G8"/>
  <c r="I8"/>
  <c r="J8"/>
  <c r="K8" s="1"/>
  <c r="L8"/>
  <c r="M8" s="1"/>
  <c r="Q8"/>
  <c r="U8"/>
  <c r="Y8"/>
  <c r="AC8"/>
  <c r="AD8"/>
  <c r="AE8" s="1"/>
  <c r="AF8"/>
  <c r="AG8" s="1"/>
  <c r="AH8"/>
  <c r="AI8" s="1"/>
  <c r="AJ8"/>
  <c r="AK8" s="1"/>
  <c r="E9"/>
  <c r="G9"/>
  <c r="I9"/>
  <c r="J9"/>
  <c r="L9"/>
  <c r="Q9"/>
  <c r="U9"/>
  <c r="Y9"/>
  <c r="AC9"/>
  <c r="AD9"/>
  <c r="AF9"/>
  <c r="AG9"/>
  <c r="AH9"/>
  <c r="AJ9"/>
  <c r="AK9"/>
  <c r="E10"/>
  <c r="G10"/>
  <c r="I10"/>
  <c r="J10"/>
  <c r="K10" s="1"/>
  <c r="L10"/>
  <c r="M10" s="1"/>
  <c r="Q10"/>
  <c r="U10"/>
  <c r="Y10"/>
  <c r="AC10"/>
  <c r="AD10"/>
  <c r="AE10" s="1"/>
  <c r="AF10"/>
  <c r="AG10" s="1"/>
  <c r="AH10"/>
  <c r="AI10" s="1"/>
  <c r="AJ10"/>
  <c r="AK10" s="1"/>
  <c r="E11"/>
  <c r="G11"/>
  <c r="I11"/>
  <c r="J11"/>
  <c r="L11"/>
  <c r="Q11"/>
  <c r="U11"/>
  <c r="Y11"/>
  <c r="AC11"/>
  <c r="AD11"/>
  <c r="AF11"/>
  <c r="AG11"/>
  <c r="AH11"/>
  <c r="AJ11"/>
  <c r="AK11"/>
  <c r="E12"/>
  <c r="G12"/>
  <c r="I12"/>
  <c r="J12"/>
  <c r="K12" s="1"/>
  <c r="L12"/>
  <c r="M12" s="1"/>
  <c r="Q12"/>
  <c r="U12"/>
  <c r="Y12"/>
  <c r="AC12"/>
  <c r="AD12"/>
  <c r="AE12" s="1"/>
  <c r="AF12"/>
  <c r="AG12" s="1"/>
  <c r="AH12"/>
  <c r="AI12" s="1"/>
  <c r="AJ12"/>
  <c r="AK12" s="1"/>
  <c r="E13"/>
  <c r="G13"/>
  <c r="I13"/>
  <c r="J13"/>
  <c r="L13"/>
  <c r="Q13"/>
  <c r="U13"/>
  <c r="Y13"/>
  <c r="AC13"/>
  <c r="AD13"/>
  <c r="AF13"/>
  <c r="AG13"/>
  <c r="AH13"/>
  <c r="AJ13"/>
  <c r="AK13"/>
  <c r="C14"/>
  <c r="E14"/>
  <c r="G14"/>
  <c r="I14"/>
  <c r="J14"/>
  <c r="K14" s="1"/>
  <c r="L14"/>
  <c r="M14" s="1"/>
  <c r="Q14"/>
  <c r="U14"/>
  <c r="Y14"/>
  <c r="AC14"/>
  <c r="AD14"/>
  <c r="AE14" s="1"/>
  <c r="AF14"/>
  <c r="AG14" s="1"/>
  <c r="AH14"/>
  <c r="AI14" s="1"/>
  <c r="AJ14"/>
  <c r="AK14" s="1"/>
  <c r="E15"/>
  <c r="G15"/>
  <c r="I15"/>
  <c r="J15"/>
  <c r="L15"/>
  <c r="Q15"/>
  <c r="U15"/>
  <c r="Y15"/>
  <c r="AC15"/>
  <c r="AD15"/>
  <c r="AF15"/>
  <c r="AG15"/>
  <c r="AH15"/>
  <c r="AJ15"/>
  <c r="AK15"/>
  <c r="E16"/>
  <c r="G16"/>
  <c r="I16"/>
  <c r="J16"/>
  <c r="K16" s="1"/>
  <c r="L16"/>
  <c r="M16" s="1"/>
  <c r="Q16"/>
  <c r="U16"/>
  <c r="Y16"/>
  <c r="AC16"/>
  <c r="AD16"/>
  <c r="AE16" s="1"/>
  <c r="AF16"/>
  <c r="AG16" s="1"/>
  <c r="AH16"/>
  <c r="AI16" s="1"/>
  <c r="AJ16"/>
  <c r="AK16" s="1"/>
  <c r="E17"/>
  <c r="G17"/>
  <c r="I17"/>
  <c r="J17"/>
  <c r="L17"/>
  <c r="Q17"/>
  <c r="U17"/>
  <c r="Y17"/>
  <c r="AC17"/>
  <c r="AD17"/>
  <c r="AF17"/>
  <c r="AG17"/>
  <c r="AH17"/>
  <c r="AJ17"/>
  <c r="AK17"/>
  <c r="E18"/>
  <c r="G18"/>
  <c r="I18"/>
  <c r="J18"/>
  <c r="K18" s="1"/>
  <c r="L18"/>
  <c r="M18" s="1"/>
  <c r="Q18"/>
  <c r="U18"/>
  <c r="Y18"/>
  <c r="AC18"/>
  <c r="AD18"/>
  <c r="AE18" s="1"/>
  <c r="AF18"/>
  <c r="AG18" s="1"/>
  <c r="AH18"/>
  <c r="AI18" s="1"/>
  <c r="AJ18"/>
  <c r="AK18" s="1"/>
  <c r="L21"/>
  <c r="B22"/>
  <c r="C9" s="1"/>
  <c r="B23"/>
  <c r="C7" s="1"/>
  <c r="B24"/>
  <c r="C5" s="1"/>
  <c r="B25"/>
  <c r="C11" s="1"/>
  <c r="L28"/>
  <c r="L82" s="1"/>
  <c r="L34"/>
  <c r="B35"/>
  <c r="B36"/>
  <c r="B37"/>
  <c r="B38"/>
  <c r="L40"/>
  <c r="B41"/>
  <c r="B42"/>
  <c r="B43"/>
  <c r="B44"/>
  <c r="L46"/>
  <c r="B47"/>
  <c r="O4" s="1"/>
  <c r="D47"/>
  <c r="B48"/>
  <c r="O5" s="1"/>
  <c r="D48"/>
  <c r="B49"/>
  <c r="O9" s="1"/>
  <c r="D49"/>
  <c r="B50"/>
  <c r="O11" s="1"/>
  <c r="B53"/>
  <c r="S9" s="1"/>
  <c r="B54"/>
  <c r="S13" s="1"/>
  <c r="B55"/>
  <c r="B56"/>
  <c r="S5" s="1"/>
  <c r="B59"/>
  <c r="W9" s="1"/>
  <c r="B60"/>
  <c r="W7" s="1"/>
  <c r="B61"/>
  <c r="B62"/>
  <c r="W5" s="1"/>
  <c r="B65"/>
  <c r="AA7" s="1"/>
  <c r="B66"/>
  <c r="B67"/>
  <c r="B68"/>
  <c r="AA5" s="1"/>
  <c r="B71"/>
  <c r="B72"/>
  <c r="B73"/>
  <c r="B74"/>
  <c r="D76"/>
  <c r="B77"/>
  <c r="D77"/>
  <c r="B78"/>
  <c r="D78"/>
  <c r="B79"/>
  <c r="B80"/>
  <c r="D87"/>
  <c r="F87" s="1"/>
  <c r="D88"/>
  <c r="F88" s="1"/>
  <c r="D89"/>
  <c r="F89" s="1"/>
  <c r="D90"/>
  <c r="F90" s="1"/>
  <c r="D91"/>
  <c r="F91" s="1"/>
  <c r="D92"/>
  <c r="F92" s="1"/>
  <c r="D93"/>
  <c r="F93" s="1"/>
  <c r="D94"/>
  <c r="F94" s="1"/>
  <c r="D95"/>
  <c r="F95" s="1"/>
  <c r="D96"/>
  <c r="F96" s="1"/>
  <c r="D97"/>
  <c r="F97" s="1"/>
  <c r="D98"/>
  <c r="F98" s="1"/>
  <c r="D99"/>
  <c r="F99" s="1"/>
  <c r="D100"/>
  <c r="F100" s="1"/>
  <c r="D101"/>
  <c r="F101" s="1"/>
  <c r="D105"/>
  <c r="F105" s="1"/>
  <c r="D106"/>
  <c r="F106" s="1"/>
  <c r="D107"/>
  <c r="F107" s="1"/>
  <c r="D108"/>
  <c r="F108" s="1"/>
  <c r="D109"/>
  <c r="F109" s="1"/>
  <c r="D110"/>
  <c r="F110" s="1"/>
  <c r="D111"/>
  <c r="F111" s="1"/>
  <c r="D112"/>
  <c r="F112" s="1"/>
  <c r="D113"/>
  <c r="F113" s="1"/>
  <c r="D114"/>
  <c r="F114" s="1"/>
  <c r="D115"/>
  <c r="F115" s="1"/>
  <c r="D116"/>
  <c r="F116" s="1"/>
  <c r="D117"/>
  <c r="F117" s="1"/>
  <c r="D118"/>
  <c r="F118" s="1"/>
  <c r="D119"/>
  <c r="F119" s="1"/>
  <c r="E4" i="22"/>
  <c r="G4"/>
  <c r="I4"/>
  <c r="J4"/>
  <c r="K4" s="1"/>
  <c r="L4"/>
  <c r="M4" s="1"/>
  <c r="O4"/>
  <c r="Q4"/>
  <c r="U4"/>
  <c r="Y4"/>
  <c r="AC4"/>
  <c r="AD4"/>
  <c r="AE4" s="1"/>
  <c r="AF4"/>
  <c r="AG4" s="1"/>
  <c r="AH4"/>
  <c r="AI4" s="1"/>
  <c r="AJ4"/>
  <c r="AK4" s="1"/>
  <c r="E5"/>
  <c r="G5"/>
  <c r="I5"/>
  <c r="J5"/>
  <c r="L5"/>
  <c r="O5"/>
  <c r="Q5"/>
  <c r="U5"/>
  <c r="Y5"/>
  <c r="AC5"/>
  <c r="AD5"/>
  <c r="AF5"/>
  <c r="AG5"/>
  <c r="AH5"/>
  <c r="AJ5"/>
  <c r="AK5"/>
  <c r="E6"/>
  <c r="G6"/>
  <c r="I6"/>
  <c r="J6"/>
  <c r="K6" s="1"/>
  <c r="L6"/>
  <c r="M6" s="1"/>
  <c r="O6"/>
  <c r="Q6"/>
  <c r="U6"/>
  <c r="Y6"/>
  <c r="AC6"/>
  <c r="AD6"/>
  <c r="AE6" s="1"/>
  <c r="AF6"/>
  <c r="AG6" s="1"/>
  <c r="AH6"/>
  <c r="AI6" s="1"/>
  <c r="AJ6"/>
  <c r="AK6" s="1"/>
  <c r="E7"/>
  <c r="G7"/>
  <c r="I7"/>
  <c r="J7"/>
  <c r="L7"/>
  <c r="O7"/>
  <c r="Q7"/>
  <c r="U7"/>
  <c r="Y7"/>
  <c r="AC7"/>
  <c r="AD7"/>
  <c r="AF7"/>
  <c r="AG7"/>
  <c r="AH7"/>
  <c r="AJ7"/>
  <c r="AK7"/>
  <c r="E8"/>
  <c r="G8"/>
  <c r="I8"/>
  <c r="J8"/>
  <c r="K8" s="1"/>
  <c r="L8"/>
  <c r="M8" s="1"/>
  <c r="O8"/>
  <c r="Q8"/>
  <c r="U8"/>
  <c r="Y8"/>
  <c r="AC8"/>
  <c r="AD8"/>
  <c r="AE8" s="1"/>
  <c r="AF8"/>
  <c r="AG8" s="1"/>
  <c r="AH8"/>
  <c r="AI8" s="1"/>
  <c r="AJ8"/>
  <c r="AK8" s="1"/>
  <c r="E9"/>
  <c r="G9"/>
  <c r="I9"/>
  <c r="J9"/>
  <c r="L9"/>
  <c r="O9"/>
  <c r="Q9"/>
  <c r="U9"/>
  <c r="Y9"/>
  <c r="AC9"/>
  <c r="AD9"/>
  <c r="AF9"/>
  <c r="AG9"/>
  <c r="AH9"/>
  <c r="AJ9"/>
  <c r="AK9"/>
  <c r="E10"/>
  <c r="G10"/>
  <c r="I10"/>
  <c r="J10"/>
  <c r="K10" s="1"/>
  <c r="L10"/>
  <c r="M10" s="1"/>
  <c r="O10"/>
  <c r="Q10"/>
  <c r="U10"/>
  <c r="Y10"/>
  <c r="AC10"/>
  <c r="AD10"/>
  <c r="AE10" s="1"/>
  <c r="AF10"/>
  <c r="AG10" s="1"/>
  <c r="AH10"/>
  <c r="AI10" s="1"/>
  <c r="AJ10"/>
  <c r="AK10" s="1"/>
  <c r="E11"/>
  <c r="G11"/>
  <c r="I11"/>
  <c r="J11"/>
  <c r="L11"/>
  <c r="O11"/>
  <c r="Q11"/>
  <c r="U11"/>
  <c r="Y11"/>
  <c r="AC11"/>
  <c r="AD11"/>
  <c r="AF11"/>
  <c r="AG11"/>
  <c r="AH11"/>
  <c r="AJ11"/>
  <c r="AK11"/>
  <c r="E12"/>
  <c r="G12"/>
  <c r="I12"/>
  <c r="J12"/>
  <c r="K12" s="1"/>
  <c r="L12"/>
  <c r="M12" s="1"/>
  <c r="O12"/>
  <c r="Q12"/>
  <c r="U12"/>
  <c r="Y12"/>
  <c r="AC12"/>
  <c r="AD12"/>
  <c r="AE12" s="1"/>
  <c r="AF12"/>
  <c r="AG12" s="1"/>
  <c r="AH12"/>
  <c r="AI12" s="1"/>
  <c r="AJ12"/>
  <c r="AK12" s="1"/>
  <c r="E13"/>
  <c r="G13"/>
  <c r="I13"/>
  <c r="J13"/>
  <c r="L13"/>
  <c r="O13"/>
  <c r="Q13"/>
  <c r="U13"/>
  <c r="Y13"/>
  <c r="AC13"/>
  <c r="AD13"/>
  <c r="AE13" s="1"/>
  <c r="AF13"/>
  <c r="AG13" s="1"/>
  <c r="AH13"/>
  <c r="AI13" s="1"/>
  <c r="AJ13"/>
  <c r="AK13" s="1"/>
  <c r="E14"/>
  <c r="G14"/>
  <c r="I14"/>
  <c r="J14"/>
  <c r="K13" s="1"/>
  <c r="L14"/>
  <c r="M13" s="1"/>
  <c r="O14"/>
  <c r="Q14"/>
  <c r="U14"/>
  <c r="Y14"/>
  <c r="AC14"/>
  <c r="AD14"/>
  <c r="AF14"/>
  <c r="AG14"/>
  <c r="AH14"/>
  <c r="AJ14"/>
  <c r="AK14" s="1"/>
  <c r="E15"/>
  <c r="G15"/>
  <c r="I15"/>
  <c r="J15"/>
  <c r="K14" s="1"/>
  <c r="L15"/>
  <c r="M14" s="1"/>
  <c r="O15"/>
  <c r="Q15"/>
  <c r="U15"/>
  <c r="Y15"/>
  <c r="AC15"/>
  <c r="AD15"/>
  <c r="AE14" s="1"/>
  <c r="AF15"/>
  <c r="AG15" s="1"/>
  <c r="AH15"/>
  <c r="AI14" s="1"/>
  <c r="AJ15"/>
  <c r="AK15" s="1"/>
  <c r="E16"/>
  <c r="G16"/>
  <c r="I16"/>
  <c r="J16"/>
  <c r="K15" s="1"/>
  <c r="L16"/>
  <c r="M15" s="1"/>
  <c r="O16"/>
  <c r="Q16"/>
  <c r="U16"/>
  <c r="Y16"/>
  <c r="AC16"/>
  <c r="AD16"/>
  <c r="AF16"/>
  <c r="AG16"/>
  <c r="AH16"/>
  <c r="AJ16"/>
  <c r="AK16"/>
  <c r="E17"/>
  <c r="G17"/>
  <c r="I17"/>
  <c r="J17"/>
  <c r="K16" s="1"/>
  <c r="L17"/>
  <c r="M16" s="1"/>
  <c r="O17"/>
  <c r="Q17"/>
  <c r="U17"/>
  <c r="Y17"/>
  <c r="AC17"/>
  <c r="AD17"/>
  <c r="AE16" s="1"/>
  <c r="AF17"/>
  <c r="AG17" s="1"/>
  <c r="AH17"/>
  <c r="AI16" s="1"/>
  <c r="AJ17"/>
  <c r="AK17" s="1"/>
  <c r="E18"/>
  <c r="G18"/>
  <c r="I18"/>
  <c r="J18"/>
  <c r="K18"/>
  <c r="L18"/>
  <c r="M18"/>
  <c r="O18"/>
  <c r="Q18"/>
  <c r="U18"/>
  <c r="Y18"/>
  <c r="AC18"/>
  <c r="AD18"/>
  <c r="AF18"/>
  <c r="AG18"/>
  <c r="AH18"/>
  <c r="AJ18"/>
  <c r="AK18"/>
  <c r="L21"/>
  <c r="B22"/>
  <c r="C13" s="1"/>
  <c r="B23"/>
  <c r="C9" s="1"/>
  <c r="B24"/>
  <c r="C5" s="1"/>
  <c r="B25"/>
  <c r="C11" s="1"/>
  <c r="L28"/>
  <c r="L34"/>
  <c r="B35"/>
  <c r="D35"/>
  <c r="B36"/>
  <c r="D36"/>
  <c r="B37"/>
  <c r="D37"/>
  <c r="B38"/>
  <c r="L40"/>
  <c r="B41"/>
  <c r="D41"/>
  <c r="B42"/>
  <c r="D42"/>
  <c r="B43"/>
  <c r="D43"/>
  <c r="B44"/>
  <c r="L46"/>
  <c r="D47"/>
  <c r="D48"/>
  <c r="D49"/>
  <c r="B53"/>
  <c r="B54"/>
  <c r="S9" s="1"/>
  <c r="B55"/>
  <c r="S5" s="1"/>
  <c r="B56"/>
  <c r="B59"/>
  <c r="B60"/>
  <c r="W9" s="1"/>
  <c r="B61"/>
  <c r="W5" s="1"/>
  <c r="B62"/>
  <c r="W12" s="1"/>
  <c r="B65"/>
  <c r="B66"/>
  <c r="AA9" s="1"/>
  <c r="B67"/>
  <c r="AA5" s="1"/>
  <c r="B68"/>
  <c r="AA12" s="1"/>
  <c r="B71"/>
  <c r="D71"/>
  <c r="B72"/>
  <c r="D72"/>
  <c r="B73"/>
  <c r="AE18" s="1"/>
  <c r="D73"/>
  <c r="B74"/>
  <c r="D76"/>
  <c r="B77"/>
  <c r="D77"/>
  <c r="B78"/>
  <c r="AI18" s="1"/>
  <c r="D78"/>
  <c r="B79"/>
  <c r="B80"/>
  <c r="L82"/>
  <c r="C93"/>
  <c r="D93"/>
  <c r="C94"/>
  <c r="D94"/>
  <c r="C95"/>
  <c r="D95"/>
  <c r="C96"/>
  <c r="D96"/>
  <c r="C97"/>
  <c r="D97"/>
  <c r="C98"/>
  <c r="D98"/>
  <c r="C99"/>
  <c r="D99"/>
  <c r="C100"/>
  <c r="D100"/>
  <c r="C101"/>
  <c r="D101"/>
  <c r="C102"/>
  <c r="D102"/>
  <c r="C103"/>
  <c r="D103"/>
  <c r="C104"/>
  <c r="D104"/>
  <c r="C105"/>
  <c r="D105"/>
  <c r="C106"/>
  <c r="D106"/>
  <c r="C107"/>
  <c r="D107"/>
  <c r="AE23" i="35" l="1"/>
  <c r="AA23"/>
  <c r="W23"/>
  <c r="S23"/>
  <c r="O23"/>
  <c r="K23"/>
  <c r="G23"/>
  <c r="C23"/>
  <c r="AE22"/>
  <c r="AA22"/>
  <c r="W22"/>
  <c r="S22"/>
  <c r="O22"/>
  <c r="AI21"/>
  <c r="M21"/>
  <c r="K21"/>
  <c r="G21"/>
  <c r="C21"/>
  <c r="AE20"/>
  <c r="AA20"/>
  <c r="W20"/>
  <c r="S20"/>
  <c r="O20"/>
  <c r="AI19"/>
  <c r="K19"/>
  <c r="G19"/>
  <c r="C19"/>
  <c r="AE18"/>
  <c r="AA18"/>
  <c r="W18"/>
  <c r="S18"/>
  <c r="O18"/>
  <c r="AI17"/>
  <c r="K17"/>
  <c r="G17"/>
  <c r="C17"/>
  <c r="AE16"/>
  <c r="AA16"/>
  <c r="W16"/>
  <c r="S16"/>
  <c r="K16"/>
  <c r="G16"/>
  <c r="C16"/>
  <c r="AE15"/>
  <c r="AA15"/>
  <c r="W15"/>
  <c r="S15"/>
  <c r="O15"/>
  <c r="AI14"/>
  <c r="K14"/>
  <c r="G14"/>
  <c r="C14"/>
  <c r="AE13"/>
  <c r="AA13"/>
  <c r="W13"/>
  <c r="S13"/>
  <c r="O13"/>
  <c r="AI12"/>
  <c r="M12"/>
  <c r="K12"/>
  <c r="G12"/>
  <c r="C12"/>
  <c r="AE11"/>
  <c r="AA11"/>
  <c r="W11"/>
  <c r="S11"/>
  <c r="O11"/>
  <c r="AI10"/>
  <c r="M10"/>
  <c r="K10"/>
  <c r="G10"/>
  <c r="C10"/>
  <c r="AE9"/>
  <c r="AA9"/>
  <c r="W9"/>
  <c r="S9"/>
  <c r="O9"/>
  <c r="AI8"/>
  <c r="M8"/>
  <c r="K8"/>
  <c r="G8"/>
  <c r="C8"/>
  <c r="AE7"/>
  <c r="AA7"/>
  <c r="W7"/>
  <c r="O7"/>
  <c r="AI6"/>
  <c r="M6"/>
  <c r="K6"/>
  <c r="G6"/>
  <c r="AL6" s="1"/>
  <c r="AE5"/>
  <c r="AA5"/>
  <c r="W5"/>
  <c r="S5"/>
  <c r="O5"/>
  <c r="AL5" s="1"/>
  <c r="AI4"/>
  <c r="K4"/>
  <c r="G4"/>
  <c r="C4"/>
  <c r="AL4" s="1"/>
  <c r="AI23"/>
  <c r="AI22"/>
  <c r="K22"/>
  <c r="G22"/>
  <c r="C22"/>
  <c r="AE21"/>
  <c r="W21"/>
  <c r="S21"/>
  <c r="O21"/>
  <c r="AI20"/>
  <c r="K20"/>
  <c r="G20"/>
  <c r="C20"/>
  <c r="AE19"/>
  <c r="AA19"/>
  <c r="W19"/>
  <c r="S19"/>
  <c r="O19"/>
  <c r="AI18"/>
  <c r="K18"/>
  <c r="G18"/>
  <c r="C18"/>
  <c r="AL18" s="1"/>
  <c r="AE17"/>
  <c r="AA17"/>
  <c r="S17"/>
  <c r="O17"/>
  <c r="AI16"/>
  <c r="AI15"/>
  <c r="C15"/>
  <c r="AE14"/>
  <c r="AA14"/>
  <c r="W14"/>
  <c r="S14"/>
  <c r="AI13"/>
  <c r="G13"/>
  <c r="C13"/>
  <c r="AA12"/>
  <c r="W12"/>
  <c r="S12"/>
  <c r="O12"/>
  <c r="K11"/>
  <c r="AL11" s="1"/>
  <c r="AE10"/>
  <c r="C9"/>
  <c r="AL9" s="1"/>
  <c r="AA8"/>
  <c r="W8"/>
  <c r="S8"/>
  <c r="O8"/>
  <c r="K7"/>
  <c r="G7"/>
  <c r="AL7" s="1"/>
  <c r="AA6"/>
  <c r="W6"/>
  <c r="S6"/>
  <c r="O23" i="34"/>
  <c r="G23"/>
  <c r="W19"/>
  <c r="O19"/>
  <c r="AL19" s="1"/>
  <c r="M18"/>
  <c r="W17"/>
  <c r="O17"/>
  <c r="G17"/>
  <c r="M16"/>
  <c r="AI15"/>
  <c r="AE15"/>
  <c r="AA15"/>
  <c r="W15"/>
  <c r="S15"/>
  <c r="O15"/>
  <c r="K15"/>
  <c r="G15"/>
  <c r="C15"/>
  <c r="K14"/>
  <c r="G14"/>
  <c r="C14"/>
  <c r="M13"/>
  <c r="AI12"/>
  <c r="AE12"/>
  <c r="AA12"/>
  <c r="W12"/>
  <c r="S12"/>
  <c r="O12"/>
  <c r="K12"/>
  <c r="G12"/>
  <c r="C12"/>
  <c r="M11"/>
  <c r="AI10"/>
  <c r="AE10"/>
  <c r="AA10"/>
  <c r="W10"/>
  <c r="S10"/>
  <c r="O10"/>
  <c r="K10"/>
  <c r="G10"/>
  <c r="C10"/>
  <c r="M9"/>
  <c r="AI8"/>
  <c r="AE8"/>
  <c r="AA8"/>
  <c r="W8"/>
  <c r="S8"/>
  <c r="O8"/>
  <c r="K8"/>
  <c r="G8"/>
  <c r="C8"/>
  <c r="M7"/>
  <c r="AL7" s="1"/>
  <c r="AI6"/>
  <c r="AE6"/>
  <c r="AA6"/>
  <c r="W6"/>
  <c r="S6"/>
  <c r="O6"/>
  <c r="K6"/>
  <c r="G6"/>
  <c r="C6"/>
  <c r="M5"/>
  <c r="AL5" s="1"/>
  <c r="AI4"/>
  <c r="AE4"/>
  <c r="AA4"/>
  <c r="W4"/>
  <c r="S4"/>
  <c r="O4"/>
  <c r="K4"/>
  <c r="G4"/>
  <c r="C4"/>
  <c r="W23"/>
  <c r="M22"/>
  <c r="O21"/>
  <c r="M20"/>
  <c r="M23"/>
  <c r="AI22"/>
  <c r="AE22"/>
  <c r="AA22"/>
  <c r="W22"/>
  <c r="S22"/>
  <c r="O22"/>
  <c r="K22"/>
  <c r="G22"/>
  <c r="C22"/>
  <c r="M21"/>
  <c r="AL21" s="1"/>
  <c r="AI20"/>
  <c r="AE20"/>
  <c r="AA20"/>
  <c r="W20"/>
  <c r="S20"/>
  <c r="O20"/>
  <c r="K20"/>
  <c r="G20"/>
  <c r="C20"/>
  <c r="AI18"/>
  <c r="AE18"/>
  <c r="AA18"/>
  <c r="W18"/>
  <c r="S18"/>
  <c r="O18"/>
  <c r="K18"/>
  <c r="C18"/>
  <c r="M17"/>
  <c r="AI16"/>
  <c r="AE16"/>
  <c r="O16"/>
  <c r="G16"/>
  <c r="AL16" s="1"/>
  <c r="M15"/>
  <c r="AA14"/>
  <c r="W14"/>
  <c r="S14"/>
  <c r="O14"/>
  <c r="AE13"/>
  <c r="K13"/>
  <c r="G13"/>
  <c r="C13"/>
  <c r="AL13" s="1"/>
  <c r="M12"/>
  <c r="AI11"/>
  <c r="AE11"/>
  <c r="W11"/>
  <c r="S11"/>
  <c r="K11"/>
  <c r="G11"/>
  <c r="AL11" s="1"/>
  <c r="M10"/>
  <c r="AI9"/>
  <c r="AA9"/>
  <c r="W9"/>
  <c r="S9"/>
  <c r="O9"/>
  <c r="C9"/>
  <c r="M8"/>
  <c r="AA7"/>
  <c r="AL5" i="32"/>
  <c r="AI15"/>
  <c r="AE15"/>
  <c r="AA15"/>
  <c r="W15"/>
  <c r="S15"/>
  <c r="O15"/>
  <c r="K15"/>
  <c r="G15"/>
  <c r="C15"/>
  <c r="M14"/>
  <c r="AI13"/>
  <c r="AE13"/>
  <c r="AA13"/>
  <c r="W13"/>
  <c r="S13"/>
  <c r="O13"/>
  <c r="K13"/>
  <c r="G13"/>
  <c r="C13"/>
  <c r="K12"/>
  <c r="G12"/>
  <c r="C12"/>
  <c r="M11"/>
  <c r="AL11" s="1"/>
  <c r="AI10"/>
  <c r="AE10"/>
  <c r="AA10"/>
  <c r="W10"/>
  <c r="S10"/>
  <c r="O10"/>
  <c r="K10"/>
  <c r="G10"/>
  <c r="C10"/>
  <c r="M9"/>
  <c r="AI8"/>
  <c r="AE8"/>
  <c r="AA8"/>
  <c r="W8"/>
  <c r="S8"/>
  <c r="O8"/>
  <c r="K8"/>
  <c r="G8"/>
  <c r="C8"/>
  <c r="AL8" s="1"/>
  <c r="M7"/>
  <c r="AL7" s="1"/>
  <c r="AI6"/>
  <c r="S6"/>
  <c r="K6"/>
  <c r="G6"/>
  <c r="C6"/>
  <c r="AL6" s="1"/>
  <c r="AI4"/>
  <c r="AE4"/>
  <c r="AA4"/>
  <c r="W4"/>
  <c r="S4"/>
  <c r="O4"/>
  <c r="K4"/>
  <c r="G4"/>
  <c r="C4"/>
  <c r="AE14"/>
  <c r="AA14"/>
  <c r="W14"/>
  <c r="S14"/>
  <c r="O14"/>
  <c r="G14"/>
  <c r="AL14" s="1"/>
  <c r="M13"/>
  <c r="AI12"/>
  <c r="AE12"/>
  <c r="AA12"/>
  <c r="W12"/>
  <c r="M10"/>
  <c r="AI9"/>
  <c r="AE9"/>
  <c r="AA9"/>
  <c r="W9"/>
  <c r="S9"/>
  <c r="O9"/>
  <c r="K9"/>
  <c r="C9"/>
  <c r="O7"/>
  <c r="AL5" i="31"/>
  <c r="AL7"/>
  <c r="AI14"/>
  <c r="AE14"/>
  <c r="AA14"/>
  <c r="W14"/>
  <c r="S14"/>
  <c r="O14"/>
  <c r="G14"/>
  <c r="C14"/>
  <c r="AL14" s="1"/>
  <c r="AI12"/>
  <c r="AE12"/>
  <c r="AA12"/>
  <c r="W12"/>
  <c r="S12"/>
  <c r="O12"/>
  <c r="G12"/>
  <c r="C12"/>
  <c r="AL12" s="1"/>
  <c r="AI10"/>
  <c r="AE10"/>
  <c r="AA10"/>
  <c r="W10"/>
  <c r="S10"/>
  <c r="O10"/>
  <c r="G10"/>
  <c r="C10"/>
  <c r="AL10" s="1"/>
  <c r="AI8"/>
  <c r="AE8"/>
  <c r="AA8"/>
  <c r="W8"/>
  <c r="S8"/>
  <c r="O8"/>
  <c r="G8"/>
  <c r="C8"/>
  <c r="AL8" s="1"/>
  <c r="AI6"/>
  <c r="AE6"/>
  <c r="AA6"/>
  <c r="W6"/>
  <c r="S6"/>
  <c r="O6"/>
  <c r="G6"/>
  <c r="C6"/>
  <c r="AL6" s="1"/>
  <c r="AI4"/>
  <c r="AE4"/>
  <c r="AA4"/>
  <c r="W4"/>
  <c r="S4"/>
  <c r="O4"/>
  <c r="AL4" s="1"/>
  <c r="AI15"/>
  <c r="AA15"/>
  <c r="W15"/>
  <c r="S15"/>
  <c r="O15"/>
  <c r="G15"/>
  <c r="C15"/>
  <c r="AE13"/>
  <c r="AA13"/>
  <c r="S13"/>
  <c r="O13"/>
  <c r="G13"/>
  <c r="C13"/>
  <c r="AE11"/>
  <c r="W11"/>
  <c r="AL11" s="1"/>
  <c r="AI9"/>
  <c r="AA9"/>
  <c r="W9"/>
  <c r="S9"/>
  <c r="G9"/>
  <c r="C9"/>
  <c r="AL5" i="29"/>
  <c r="AE12"/>
  <c r="AA12"/>
  <c r="S12"/>
  <c r="K12"/>
  <c r="G12"/>
  <c r="C12"/>
  <c r="AI10"/>
  <c r="AE10"/>
  <c r="AA10"/>
  <c r="S10"/>
  <c r="K10"/>
  <c r="C10"/>
  <c r="M9"/>
  <c r="AL9" s="1"/>
  <c r="AE8"/>
  <c r="AA8"/>
  <c r="W8"/>
  <c r="S8"/>
  <c r="K8"/>
  <c r="G8"/>
  <c r="C8"/>
  <c r="M7"/>
  <c r="AE6"/>
  <c r="AA6"/>
  <c r="W6"/>
  <c r="S6"/>
  <c r="K6"/>
  <c r="G6"/>
  <c r="C6"/>
  <c r="AI4"/>
  <c r="AE4"/>
  <c r="AA4"/>
  <c r="W4"/>
  <c r="S4"/>
  <c r="K4"/>
  <c r="C4"/>
  <c r="AL4" s="1"/>
  <c r="AI12"/>
  <c r="AI13"/>
  <c r="AE13"/>
  <c r="AL83" s="1"/>
  <c r="AA13"/>
  <c r="W13"/>
  <c r="S13"/>
  <c r="K13"/>
  <c r="G13"/>
  <c r="C13"/>
  <c r="AL13" s="1"/>
  <c r="AI11"/>
  <c r="AA11"/>
  <c r="W11"/>
  <c r="S11"/>
  <c r="G11"/>
  <c r="C11"/>
  <c r="AL11" s="1"/>
  <c r="M10"/>
  <c r="AI9"/>
  <c r="W9"/>
  <c r="S9"/>
  <c r="M8"/>
  <c r="AA7"/>
  <c r="C7"/>
  <c r="AL5" i="28"/>
  <c r="M12"/>
  <c r="AL12" s="1"/>
  <c r="AI11"/>
  <c r="AE11"/>
  <c r="AA11"/>
  <c r="W11"/>
  <c r="S11"/>
  <c r="K11"/>
  <c r="G11"/>
  <c r="C11"/>
  <c r="AL11" s="1"/>
  <c r="M10"/>
  <c r="AE9"/>
  <c r="AA9"/>
  <c r="W9"/>
  <c r="S9"/>
  <c r="K9"/>
  <c r="G9"/>
  <c r="C9"/>
  <c r="AL9" s="1"/>
  <c r="M8"/>
  <c r="AI7"/>
  <c r="AA7"/>
  <c r="W7"/>
  <c r="S7"/>
  <c r="K7"/>
  <c r="G7"/>
  <c r="C7"/>
  <c r="AL7" s="1"/>
  <c r="M6"/>
  <c r="AL6" s="1"/>
  <c r="AI4"/>
  <c r="AE4"/>
  <c r="AA4"/>
  <c r="W4"/>
  <c r="S4"/>
  <c r="G4"/>
  <c r="C4"/>
  <c r="W13"/>
  <c r="S13"/>
  <c r="AL13" s="1"/>
  <c r="AI10"/>
  <c r="AE10"/>
  <c r="AA10"/>
  <c r="W10"/>
  <c r="S10"/>
  <c r="K10"/>
  <c r="G10"/>
  <c r="C10"/>
  <c r="AA8"/>
  <c r="C8"/>
  <c r="AL8" s="1"/>
  <c r="AI12" i="26"/>
  <c r="AE12"/>
  <c r="AA12"/>
  <c r="W12"/>
  <c r="S12"/>
  <c r="K12"/>
  <c r="G12"/>
  <c r="C12"/>
  <c r="AL12" s="1"/>
  <c r="M11"/>
  <c r="AI10"/>
  <c r="AE10"/>
  <c r="AA10"/>
  <c r="W10"/>
  <c r="S10"/>
  <c r="K10"/>
  <c r="G10"/>
  <c r="C10"/>
  <c r="M9"/>
  <c r="AL9" s="1"/>
  <c r="AI8"/>
  <c r="AE8"/>
  <c r="AA8"/>
  <c r="W8"/>
  <c r="S8"/>
  <c r="K8"/>
  <c r="G8"/>
  <c r="C8"/>
  <c r="M7"/>
  <c r="AE6"/>
  <c r="AA6"/>
  <c r="W6"/>
  <c r="S6"/>
  <c r="G6"/>
  <c r="C6"/>
  <c r="AL6" s="1"/>
  <c r="M5"/>
  <c r="AL5" s="1"/>
  <c r="AI4"/>
  <c r="AE4"/>
  <c r="AA4"/>
  <c r="W4"/>
  <c r="S4"/>
  <c r="K4"/>
  <c r="G4"/>
  <c r="C4"/>
  <c r="AL4" s="1"/>
  <c r="AI13"/>
  <c r="W13"/>
  <c r="G13"/>
  <c r="AL13" s="1"/>
  <c r="AI11"/>
  <c r="AE11"/>
  <c r="AA11"/>
  <c r="W11"/>
  <c r="S11"/>
  <c r="K11"/>
  <c r="C11"/>
  <c r="AL11" s="1"/>
  <c r="M10"/>
  <c r="W9"/>
  <c r="S9"/>
  <c r="S7"/>
  <c r="K7"/>
  <c r="AL7" s="1"/>
  <c r="AI12" i="25"/>
  <c r="AE12"/>
  <c r="AA12"/>
  <c r="W12"/>
  <c r="S12"/>
  <c r="K12"/>
  <c r="G12"/>
  <c r="C12"/>
  <c r="M11"/>
  <c r="AI10"/>
  <c r="AE10"/>
  <c r="AA10"/>
  <c r="W10"/>
  <c r="S10"/>
  <c r="K10"/>
  <c r="G10"/>
  <c r="C10"/>
  <c r="M9"/>
  <c r="AI8"/>
  <c r="AE8"/>
  <c r="AA8"/>
  <c r="W8"/>
  <c r="S8"/>
  <c r="K8"/>
  <c r="G8"/>
  <c r="C8"/>
  <c r="AL8" s="1"/>
  <c r="M7"/>
  <c r="AL7" s="1"/>
  <c r="AI6"/>
  <c r="AE6"/>
  <c r="W6"/>
  <c r="S6"/>
  <c r="K6"/>
  <c r="G6"/>
  <c r="C6"/>
  <c r="AL6" s="1"/>
  <c r="M5"/>
  <c r="AL5" s="1"/>
  <c r="AI4"/>
  <c r="AA4"/>
  <c r="S4"/>
  <c r="K4"/>
  <c r="G4"/>
  <c r="C4"/>
  <c r="AE13"/>
  <c r="AL13" s="1"/>
  <c r="M12"/>
  <c r="AI11"/>
  <c r="AE11"/>
  <c r="AA11"/>
  <c r="W11"/>
  <c r="S11"/>
  <c r="K11"/>
  <c r="G11"/>
  <c r="C11"/>
  <c r="AA9"/>
  <c r="W9"/>
  <c r="C9"/>
  <c r="AL9" s="1"/>
  <c r="S7"/>
  <c r="O18" i="23"/>
  <c r="C18"/>
  <c r="AI17"/>
  <c r="AE17"/>
  <c r="M17"/>
  <c r="K17"/>
  <c r="AA16"/>
  <c r="W16"/>
  <c r="S16"/>
  <c r="O16"/>
  <c r="C16"/>
  <c r="AL16" s="1"/>
  <c r="AI15"/>
  <c r="AE15"/>
  <c r="M15"/>
  <c r="K15"/>
  <c r="AA14"/>
  <c r="W14"/>
  <c r="S14"/>
  <c r="O14"/>
  <c r="AL14" s="1"/>
  <c r="AI13"/>
  <c r="AE13"/>
  <c r="M13"/>
  <c r="K13"/>
  <c r="AA12"/>
  <c r="W12"/>
  <c r="S12"/>
  <c r="O12"/>
  <c r="C12"/>
  <c r="AI11"/>
  <c r="AE11"/>
  <c r="M11"/>
  <c r="K11"/>
  <c r="AL11" s="1"/>
  <c r="AA10"/>
  <c r="W10"/>
  <c r="S10"/>
  <c r="O10"/>
  <c r="C10"/>
  <c r="AL10" s="1"/>
  <c r="AI9"/>
  <c r="AE9"/>
  <c r="M9"/>
  <c r="K9"/>
  <c r="AL9" s="1"/>
  <c r="AA8"/>
  <c r="W8"/>
  <c r="S8"/>
  <c r="O8"/>
  <c r="C8"/>
  <c r="AI7"/>
  <c r="AE7"/>
  <c r="M7"/>
  <c r="K7"/>
  <c r="AL7" s="1"/>
  <c r="AA6"/>
  <c r="W6"/>
  <c r="S6"/>
  <c r="O6"/>
  <c r="C6"/>
  <c r="AL6" s="1"/>
  <c r="AI5"/>
  <c r="AE5"/>
  <c r="M5"/>
  <c r="K5"/>
  <c r="AL5" s="1"/>
  <c r="AA4"/>
  <c r="W4"/>
  <c r="S4"/>
  <c r="C4"/>
  <c r="AL4" s="1"/>
  <c r="AA18"/>
  <c r="W18"/>
  <c r="S18"/>
  <c r="D72"/>
  <c r="D71"/>
  <c r="D70"/>
  <c r="D43"/>
  <c r="D42"/>
  <c r="D41"/>
  <c r="D37"/>
  <c r="D36"/>
  <c r="D35"/>
  <c r="AA17"/>
  <c r="W17"/>
  <c r="S17"/>
  <c r="O17"/>
  <c r="C17"/>
  <c r="AA15"/>
  <c r="W15"/>
  <c r="S15"/>
  <c r="O15"/>
  <c r="C15"/>
  <c r="AL15" s="1"/>
  <c r="AA13"/>
  <c r="W13"/>
  <c r="O13"/>
  <c r="C13"/>
  <c r="AL13" s="1"/>
  <c r="AA11"/>
  <c r="W11"/>
  <c r="S11"/>
  <c r="AA9"/>
  <c r="S7"/>
  <c r="O7"/>
  <c r="AA18" i="22"/>
  <c r="W18"/>
  <c r="S18"/>
  <c r="C18"/>
  <c r="AL18" s="1"/>
  <c r="AI17"/>
  <c r="AE17"/>
  <c r="M17"/>
  <c r="K17"/>
  <c r="AA16"/>
  <c r="W16"/>
  <c r="S16"/>
  <c r="C16"/>
  <c r="AL16" s="1"/>
  <c r="AI15"/>
  <c r="AE15"/>
  <c r="AA14"/>
  <c r="W14"/>
  <c r="S14"/>
  <c r="C14"/>
  <c r="AL14" s="1"/>
  <c r="S12"/>
  <c r="C12"/>
  <c r="AL12" s="1"/>
  <c r="AI11"/>
  <c r="AE11"/>
  <c r="M11"/>
  <c r="K11"/>
  <c r="AL11" s="1"/>
  <c r="AA10"/>
  <c r="W10"/>
  <c r="S10"/>
  <c r="C10"/>
  <c r="AL10" s="1"/>
  <c r="AI9"/>
  <c r="AE9"/>
  <c r="M9"/>
  <c r="K9"/>
  <c r="AL9" s="1"/>
  <c r="AA8"/>
  <c r="W8"/>
  <c r="S8"/>
  <c r="C8"/>
  <c r="AL8" s="1"/>
  <c r="AI7"/>
  <c r="AE7"/>
  <c r="M7"/>
  <c r="K7"/>
  <c r="AA6"/>
  <c r="W6"/>
  <c r="S6"/>
  <c r="C6"/>
  <c r="AL6" s="1"/>
  <c r="AI5"/>
  <c r="AE5"/>
  <c r="M5"/>
  <c r="K5"/>
  <c r="AL5" s="1"/>
  <c r="AA4"/>
  <c r="W4"/>
  <c r="S4"/>
  <c r="C4"/>
  <c r="AL4" s="1"/>
  <c r="AA17"/>
  <c r="W17"/>
  <c r="S17"/>
  <c r="C17"/>
  <c r="AL17" s="1"/>
  <c r="AA15"/>
  <c r="W15"/>
  <c r="S15"/>
  <c r="C15"/>
  <c r="AL15" s="1"/>
  <c r="AA13"/>
  <c r="W13"/>
  <c r="S13"/>
  <c r="AL13" s="1"/>
  <c r="AA11"/>
  <c r="W11"/>
  <c r="S11"/>
  <c r="AA7"/>
  <c r="W7"/>
  <c r="S7"/>
  <c r="C7"/>
  <c r="AL7" s="1"/>
  <c r="AL13" i="35" l="1"/>
  <c r="AL16"/>
  <c r="AL19"/>
  <c r="AL15"/>
  <c r="AL20"/>
  <c r="AL22"/>
  <c r="AL8"/>
  <c r="AL10"/>
  <c r="AL12"/>
  <c r="AL14"/>
  <c r="AL17"/>
  <c r="AL21"/>
  <c r="AL23"/>
  <c r="AL15" i="34"/>
  <c r="AL17"/>
  <c r="AL23"/>
  <c r="AL9"/>
  <c r="AL18"/>
  <c r="AL20"/>
  <c r="AL22"/>
  <c r="AL4"/>
  <c r="AL6"/>
  <c r="AL8"/>
  <c r="AL10"/>
  <c r="AL12"/>
  <c r="AL14"/>
  <c r="AL9" i="32"/>
  <c r="AL4"/>
  <c r="AL13"/>
  <c r="AL15"/>
  <c r="AL10"/>
  <c r="AL12"/>
  <c r="AL9" i="31"/>
  <c r="AL13"/>
  <c r="AL15"/>
  <c r="AL7" i="29"/>
  <c r="AL6"/>
  <c r="AL8"/>
  <c r="AL10"/>
  <c r="AL12"/>
  <c r="AL10" i="28"/>
  <c r="AL4"/>
  <c r="AL10" i="26"/>
  <c r="AL8"/>
  <c r="AL12" i="25"/>
  <c r="AL11"/>
  <c r="AL4"/>
  <c r="AL10"/>
  <c r="AL17" i="23"/>
  <c r="AL8"/>
  <c r="AL12"/>
  <c r="AL18"/>
  <c r="I5" i="21" l="1"/>
  <c r="I6"/>
  <c r="I7"/>
  <c r="I8"/>
  <c r="I9"/>
  <c r="I10"/>
  <c r="I11"/>
  <c r="I12"/>
  <c r="I13"/>
  <c r="I14"/>
  <c r="I15"/>
  <c r="I16"/>
  <c r="I17"/>
  <c r="I18"/>
  <c r="I19"/>
  <c r="I20"/>
  <c r="I21"/>
  <c r="E4" i="20"/>
  <c r="I4"/>
  <c r="O4"/>
  <c r="Q4"/>
  <c r="S4"/>
  <c r="U4"/>
  <c r="W4"/>
  <c r="Y4"/>
  <c r="AA4"/>
  <c r="AC4"/>
  <c r="AG4"/>
  <c r="AK4"/>
  <c r="E5"/>
  <c r="I5"/>
  <c r="O5"/>
  <c r="Q5"/>
  <c r="S5"/>
  <c r="U5"/>
  <c r="W5"/>
  <c r="Y5"/>
  <c r="AA5"/>
  <c r="AC5"/>
  <c r="AG5"/>
  <c r="AK5"/>
  <c r="E6"/>
  <c r="I6"/>
  <c r="O6"/>
  <c r="Q6"/>
  <c r="S6"/>
  <c r="U6"/>
  <c r="W6"/>
  <c r="Y6"/>
  <c r="AA6"/>
  <c r="AC6"/>
  <c r="AG6"/>
  <c r="AK6"/>
  <c r="E7"/>
  <c r="I7"/>
  <c r="O7"/>
  <c r="Q7"/>
  <c r="S7"/>
  <c r="U7"/>
  <c r="W7"/>
  <c r="Y7"/>
  <c r="AA7"/>
  <c r="AC7"/>
  <c r="AG7"/>
  <c r="AK7"/>
  <c r="E8"/>
  <c r="I8"/>
  <c r="O8"/>
  <c r="Q8"/>
  <c r="S8"/>
  <c r="U8"/>
  <c r="W8"/>
  <c r="Y8"/>
  <c r="AA8"/>
  <c r="AC8"/>
  <c r="AG8"/>
  <c r="AK8"/>
  <c r="E9"/>
  <c r="I9"/>
  <c r="O9"/>
  <c r="Q9"/>
  <c r="S9"/>
  <c r="U9"/>
  <c r="W9"/>
  <c r="Y9"/>
  <c r="AA9"/>
  <c r="AC9"/>
  <c r="AG9"/>
  <c r="AK9"/>
  <c r="E10"/>
  <c r="I10"/>
  <c r="O10"/>
  <c r="Q10"/>
  <c r="S10"/>
  <c r="U10"/>
  <c r="W10"/>
  <c r="Y10"/>
  <c r="AA10"/>
  <c r="AC10"/>
  <c r="AG10"/>
  <c r="AK10"/>
  <c r="E11"/>
  <c r="I11"/>
  <c r="O11"/>
  <c r="Q11"/>
  <c r="S11"/>
  <c r="U11"/>
  <c r="W11"/>
  <c r="Y11"/>
  <c r="AA11"/>
  <c r="AC11"/>
  <c r="AG11"/>
  <c r="AK11"/>
  <c r="E12"/>
  <c r="I12"/>
  <c r="O12"/>
  <c r="Q12"/>
  <c r="S12"/>
  <c r="U12"/>
  <c r="W12"/>
  <c r="Y12"/>
  <c r="AA12"/>
  <c r="AC12"/>
  <c r="AG12"/>
  <c r="AK12"/>
  <c r="E13"/>
  <c r="I13"/>
  <c r="O13"/>
  <c r="Q13"/>
  <c r="S13"/>
  <c r="U13"/>
  <c r="W13"/>
  <c r="Y13"/>
  <c r="AA13"/>
  <c r="AC13"/>
  <c r="AG13"/>
  <c r="AK13"/>
  <c r="E14"/>
  <c r="I14"/>
  <c r="O14"/>
  <c r="Q14"/>
  <c r="S14"/>
  <c r="U14"/>
  <c r="W14"/>
  <c r="Y14"/>
  <c r="AA14"/>
  <c r="AC14"/>
  <c r="AG14"/>
  <c r="AK14"/>
  <c r="E15"/>
  <c r="I15"/>
  <c r="O15"/>
  <c r="Q15"/>
  <c r="S15"/>
  <c r="U15"/>
  <c r="W15"/>
  <c r="Y15"/>
  <c r="AA15"/>
  <c r="AC15"/>
  <c r="AG15"/>
  <c r="AK15"/>
  <c r="E16"/>
  <c r="I16"/>
  <c r="O16"/>
  <c r="Q16"/>
  <c r="S16"/>
  <c r="U16"/>
  <c r="W16"/>
  <c r="Y16"/>
  <c r="AA16"/>
  <c r="AC16"/>
  <c r="AG16"/>
  <c r="AK16"/>
  <c r="E17"/>
  <c r="I17"/>
  <c r="O17"/>
  <c r="Q17"/>
  <c r="S17"/>
  <c r="U17"/>
  <c r="W17"/>
  <c r="Y17"/>
  <c r="AA17"/>
  <c r="AC17"/>
  <c r="AG17"/>
  <c r="AK17"/>
  <c r="E18"/>
  <c r="I18"/>
  <c r="O18"/>
  <c r="Q18"/>
  <c r="S18"/>
  <c r="U18"/>
  <c r="W18"/>
  <c r="Y18"/>
  <c r="AA18"/>
  <c r="AC18"/>
  <c r="AE18"/>
  <c r="AG18"/>
  <c r="AI18"/>
  <c r="AK18"/>
  <c r="E19"/>
  <c r="I19"/>
  <c r="O19"/>
  <c r="Q19"/>
  <c r="S19"/>
  <c r="U19"/>
  <c r="W19"/>
  <c r="Y19"/>
  <c r="AA19"/>
  <c r="AC19"/>
  <c r="AG19"/>
  <c r="AK19"/>
  <c r="C20"/>
  <c r="E20"/>
  <c r="G20"/>
  <c r="I20"/>
  <c r="K20"/>
  <c r="O20"/>
  <c r="Q20"/>
  <c r="S20"/>
  <c r="U20"/>
  <c r="W20"/>
  <c r="Y20"/>
  <c r="AA20"/>
  <c r="AC20"/>
  <c r="AE20"/>
  <c r="AG20"/>
  <c r="AI20"/>
  <c r="AK20"/>
  <c r="F25"/>
  <c r="B26"/>
  <c r="B27"/>
  <c r="C8" s="1"/>
  <c r="B28"/>
  <c r="C9" s="1"/>
  <c r="B29"/>
  <c r="C5" s="1"/>
  <c r="B32"/>
  <c r="G7" s="1"/>
  <c r="F32"/>
  <c r="B33"/>
  <c r="G9" s="1"/>
  <c r="B34"/>
  <c r="G5" s="1"/>
  <c r="B35"/>
  <c r="G4" s="1"/>
  <c r="B39"/>
  <c r="K9" s="1"/>
  <c r="E39"/>
  <c r="B40"/>
  <c r="K5" s="1"/>
  <c r="E40"/>
  <c r="B41"/>
  <c r="K11" s="1"/>
  <c r="E41"/>
  <c r="B42"/>
  <c r="K7" s="1"/>
  <c r="B45"/>
  <c r="M6" s="1"/>
  <c r="E45"/>
  <c r="B46"/>
  <c r="M14" s="1"/>
  <c r="E46"/>
  <c r="B47"/>
  <c r="M8" s="1"/>
  <c r="E47"/>
  <c r="B48"/>
  <c r="M4" s="1"/>
  <c r="H50"/>
  <c r="E51"/>
  <c r="E52"/>
  <c r="E53"/>
  <c r="F56"/>
  <c r="B57"/>
  <c r="B58"/>
  <c r="B59"/>
  <c r="B60"/>
  <c r="F62"/>
  <c r="B63"/>
  <c r="B64"/>
  <c r="B65"/>
  <c r="B66"/>
  <c r="F68"/>
  <c r="B69"/>
  <c r="B70"/>
  <c r="B71"/>
  <c r="B72"/>
  <c r="I74"/>
  <c r="B75"/>
  <c r="AE7" s="1"/>
  <c r="E75"/>
  <c r="B76"/>
  <c r="AE4" s="1"/>
  <c r="E76"/>
  <c r="B77"/>
  <c r="AE19" s="1"/>
  <c r="E77"/>
  <c r="B78"/>
  <c r="AE5" s="1"/>
  <c r="I80"/>
  <c r="B81"/>
  <c r="AI7" s="1"/>
  <c r="E81"/>
  <c r="B82"/>
  <c r="AI9" s="1"/>
  <c r="E82"/>
  <c r="B83"/>
  <c r="AI4" s="1"/>
  <c r="E83"/>
  <c r="B84"/>
  <c r="AI5" s="1"/>
  <c r="L86"/>
  <c r="C4" i="19"/>
  <c r="E4"/>
  <c r="I4"/>
  <c r="K4"/>
  <c r="O4"/>
  <c r="Q4"/>
  <c r="S4"/>
  <c r="U4"/>
  <c r="W4"/>
  <c r="Y4"/>
  <c r="AA4"/>
  <c r="AC4"/>
  <c r="AE4"/>
  <c r="AG4"/>
  <c r="AI4"/>
  <c r="AK4"/>
  <c r="E5"/>
  <c r="I5"/>
  <c r="O5"/>
  <c r="Q5"/>
  <c r="S5"/>
  <c r="U5"/>
  <c r="W5"/>
  <c r="Y5"/>
  <c r="AA5"/>
  <c r="AC5"/>
  <c r="AG5"/>
  <c r="AK5"/>
  <c r="C6"/>
  <c r="E6"/>
  <c r="G6"/>
  <c r="I6"/>
  <c r="K6"/>
  <c r="O6"/>
  <c r="Q6"/>
  <c r="S6"/>
  <c r="U6"/>
  <c r="W6"/>
  <c r="Y6"/>
  <c r="AA6"/>
  <c r="AC6"/>
  <c r="AE6"/>
  <c r="AG6"/>
  <c r="AI6"/>
  <c r="AK6"/>
  <c r="E7"/>
  <c r="I7"/>
  <c r="O7"/>
  <c r="Q7"/>
  <c r="S7"/>
  <c r="U7"/>
  <c r="W7"/>
  <c r="Y7"/>
  <c r="AA7"/>
  <c r="AC7"/>
  <c r="AG7"/>
  <c r="AK7"/>
  <c r="C8"/>
  <c r="E8"/>
  <c r="G8"/>
  <c r="I8"/>
  <c r="K8"/>
  <c r="O8"/>
  <c r="Q8"/>
  <c r="S8"/>
  <c r="U8"/>
  <c r="W8"/>
  <c r="Y8"/>
  <c r="AA8"/>
  <c r="AC8"/>
  <c r="AE8"/>
  <c r="AG8"/>
  <c r="AI8"/>
  <c r="AK8"/>
  <c r="E9"/>
  <c r="I9"/>
  <c r="O9"/>
  <c r="Q9"/>
  <c r="S9"/>
  <c r="U9"/>
  <c r="W9"/>
  <c r="Y9"/>
  <c r="AA9"/>
  <c r="AC9"/>
  <c r="AG9"/>
  <c r="AK9"/>
  <c r="C10"/>
  <c r="E10"/>
  <c r="G10"/>
  <c r="I10"/>
  <c r="K10"/>
  <c r="O10"/>
  <c r="Q10"/>
  <c r="S10"/>
  <c r="U10"/>
  <c r="W10"/>
  <c r="Y10"/>
  <c r="AA10"/>
  <c r="AC10"/>
  <c r="AE10"/>
  <c r="AG10"/>
  <c r="AI10"/>
  <c r="AK10"/>
  <c r="E11"/>
  <c r="I11"/>
  <c r="O11"/>
  <c r="Q11"/>
  <c r="S11"/>
  <c r="U11"/>
  <c r="W11"/>
  <c r="Y11"/>
  <c r="AA11"/>
  <c r="AC11"/>
  <c r="AG11"/>
  <c r="AK11"/>
  <c r="C12"/>
  <c r="E12"/>
  <c r="G12"/>
  <c r="I12"/>
  <c r="K12"/>
  <c r="O12"/>
  <c r="Q12"/>
  <c r="S12"/>
  <c r="U12"/>
  <c r="W12"/>
  <c r="Y12"/>
  <c r="AA12"/>
  <c r="AC12"/>
  <c r="AE12"/>
  <c r="AG12"/>
  <c r="AI12"/>
  <c r="AK12"/>
  <c r="E13"/>
  <c r="I13"/>
  <c r="O13"/>
  <c r="Q13"/>
  <c r="S13"/>
  <c r="U13"/>
  <c r="W13"/>
  <c r="Y13"/>
  <c r="AA13"/>
  <c r="AC13"/>
  <c r="AG13"/>
  <c r="AK13"/>
  <c r="C14"/>
  <c r="E14"/>
  <c r="I14"/>
  <c r="K14"/>
  <c r="O14"/>
  <c r="Q14"/>
  <c r="S14"/>
  <c r="U14"/>
  <c r="W14"/>
  <c r="Y14"/>
  <c r="AA14"/>
  <c r="AC14"/>
  <c r="AE14"/>
  <c r="AG14"/>
  <c r="AI14"/>
  <c r="AK14"/>
  <c r="E15"/>
  <c r="I15"/>
  <c r="O15"/>
  <c r="Q15"/>
  <c r="S15"/>
  <c r="U15"/>
  <c r="W15"/>
  <c r="Y15"/>
  <c r="AA15"/>
  <c r="AC15"/>
  <c r="AG15"/>
  <c r="AK15"/>
  <c r="C16"/>
  <c r="E16"/>
  <c r="I16"/>
  <c r="K16"/>
  <c r="O16"/>
  <c r="Q16"/>
  <c r="S16"/>
  <c r="U16"/>
  <c r="W16"/>
  <c r="Y16"/>
  <c r="AA16"/>
  <c r="AC16"/>
  <c r="AE16"/>
  <c r="AG16"/>
  <c r="AI16"/>
  <c r="AK16"/>
  <c r="E17"/>
  <c r="I17"/>
  <c r="O17"/>
  <c r="Q17"/>
  <c r="S17"/>
  <c r="U17"/>
  <c r="W17"/>
  <c r="Y17"/>
  <c r="AA17"/>
  <c r="AC17"/>
  <c r="AG17"/>
  <c r="AK17"/>
  <c r="E18"/>
  <c r="G18"/>
  <c r="I18"/>
  <c r="K18"/>
  <c r="O18"/>
  <c r="Q18"/>
  <c r="S18"/>
  <c r="U18"/>
  <c r="W18"/>
  <c r="Y18"/>
  <c r="AA18"/>
  <c r="AC18"/>
  <c r="AE18"/>
  <c r="AG18"/>
  <c r="AI18"/>
  <c r="AK18"/>
  <c r="E19"/>
  <c r="I19"/>
  <c r="O19"/>
  <c r="Q19"/>
  <c r="S19"/>
  <c r="U19"/>
  <c r="W19"/>
  <c r="Y19"/>
  <c r="AA19"/>
  <c r="AC19"/>
  <c r="AG19"/>
  <c r="AK19"/>
  <c r="C20"/>
  <c r="E20"/>
  <c r="G20"/>
  <c r="I20"/>
  <c r="K20"/>
  <c r="O20"/>
  <c r="Q20"/>
  <c r="S20"/>
  <c r="U20"/>
  <c r="W20"/>
  <c r="Y20"/>
  <c r="AA20"/>
  <c r="AC20"/>
  <c r="AE20"/>
  <c r="AG20"/>
  <c r="AI20"/>
  <c r="AK20"/>
  <c r="F25"/>
  <c r="B26"/>
  <c r="C7" s="1"/>
  <c r="B27"/>
  <c r="C9" s="1"/>
  <c r="B28"/>
  <c r="C15" s="1"/>
  <c r="B29"/>
  <c r="C5" s="1"/>
  <c r="B32"/>
  <c r="G7" s="1"/>
  <c r="F32"/>
  <c r="B33"/>
  <c r="G9" s="1"/>
  <c r="B34"/>
  <c r="G5" s="1"/>
  <c r="B35"/>
  <c r="G4" s="1"/>
  <c r="B39"/>
  <c r="K5" s="1"/>
  <c r="E39"/>
  <c r="B40"/>
  <c r="K9" s="1"/>
  <c r="E40"/>
  <c r="B41"/>
  <c r="K7" s="1"/>
  <c r="E41"/>
  <c r="B42"/>
  <c r="K17" s="1"/>
  <c r="B45"/>
  <c r="M18" s="1"/>
  <c r="E45"/>
  <c r="B46"/>
  <c r="M6" s="1"/>
  <c r="AL6" s="1"/>
  <c r="E46"/>
  <c r="B47"/>
  <c r="M4" s="1"/>
  <c r="E47"/>
  <c r="B48"/>
  <c r="M8" s="1"/>
  <c r="AL8" s="1"/>
  <c r="F50"/>
  <c r="E51"/>
  <c r="E52"/>
  <c r="E53"/>
  <c r="F56"/>
  <c r="B57"/>
  <c r="B58"/>
  <c r="B59"/>
  <c r="B60"/>
  <c r="F62"/>
  <c r="B63"/>
  <c r="B64"/>
  <c r="B65"/>
  <c r="B66"/>
  <c r="F68"/>
  <c r="B69"/>
  <c r="B70"/>
  <c r="B71"/>
  <c r="B72"/>
  <c r="H74"/>
  <c r="B75"/>
  <c r="AE7" s="1"/>
  <c r="E75"/>
  <c r="B76"/>
  <c r="AE19" s="1"/>
  <c r="E76"/>
  <c r="B77"/>
  <c r="E77"/>
  <c r="B78"/>
  <c r="AE5" s="1"/>
  <c r="H80"/>
  <c r="B81"/>
  <c r="AI7" s="1"/>
  <c r="E81"/>
  <c r="B82"/>
  <c r="AI11" s="1"/>
  <c r="E82"/>
  <c r="B83"/>
  <c r="AI13" s="1"/>
  <c r="E83"/>
  <c r="B84"/>
  <c r="AI5" s="1"/>
  <c r="L86"/>
  <c r="M19" i="20" l="1"/>
  <c r="K18"/>
  <c r="G18"/>
  <c r="C18"/>
  <c r="M17"/>
  <c r="AI16"/>
  <c r="AE16"/>
  <c r="K16"/>
  <c r="G16"/>
  <c r="C16"/>
  <c r="M15"/>
  <c r="AI14"/>
  <c r="AE14"/>
  <c r="K14"/>
  <c r="G14"/>
  <c r="C14"/>
  <c r="M13"/>
  <c r="AI12"/>
  <c r="AE12"/>
  <c r="K12"/>
  <c r="G12"/>
  <c r="C12"/>
  <c r="M11"/>
  <c r="AI10"/>
  <c r="AE10"/>
  <c r="K10"/>
  <c r="G10"/>
  <c r="C10"/>
  <c r="M9"/>
  <c r="AL9" s="1"/>
  <c r="AI8"/>
  <c r="AE8"/>
  <c r="K8"/>
  <c r="G8"/>
  <c r="AL8" s="1"/>
  <c r="M7"/>
  <c r="AI6"/>
  <c r="AE6"/>
  <c r="K6"/>
  <c r="G6"/>
  <c r="C6"/>
  <c r="AL6" s="1"/>
  <c r="M5"/>
  <c r="AL5" s="1"/>
  <c r="K4"/>
  <c r="C4"/>
  <c r="M20"/>
  <c r="AL20" s="1"/>
  <c r="AI19"/>
  <c r="K19"/>
  <c r="G19"/>
  <c r="C19"/>
  <c r="AL19" s="1"/>
  <c r="M18"/>
  <c r="AI17"/>
  <c r="AE17"/>
  <c r="K17"/>
  <c r="G17"/>
  <c r="C17"/>
  <c r="AL17" s="1"/>
  <c r="M16"/>
  <c r="AI15"/>
  <c r="AE15"/>
  <c r="K15"/>
  <c r="G15"/>
  <c r="C15"/>
  <c r="AL15" s="1"/>
  <c r="AI13"/>
  <c r="AE13"/>
  <c r="K13"/>
  <c r="G13"/>
  <c r="C13"/>
  <c r="M12"/>
  <c r="AI11"/>
  <c r="AE11"/>
  <c r="G11"/>
  <c r="C11"/>
  <c r="AL11" s="1"/>
  <c r="M10"/>
  <c r="AE9"/>
  <c r="C7"/>
  <c r="AL7" s="1"/>
  <c r="AL4" i="19"/>
  <c r="C18"/>
  <c r="AL18" s="1"/>
  <c r="M17"/>
  <c r="M13"/>
  <c r="M11"/>
  <c r="M9"/>
  <c r="AL9" s="1"/>
  <c r="M19"/>
  <c r="G16"/>
  <c r="M15"/>
  <c r="G14"/>
  <c r="M7"/>
  <c r="AL7" s="1"/>
  <c r="M5"/>
  <c r="AL5" s="1"/>
  <c r="M20"/>
  <c r="AL20" s="1"/>
  <c r="AI19"/>
  <c r="K19"/>
  <c r="G19"/>
  <c r="C19"/>
  <c r="AL19" s="1"/>
  <c r="AI17"/>
  <c r="AE17"/>
  <c r="G17"/>
  <c r="C17"/>
  <c r="AL17" s="1"/>
  <c r="M16"/>
  <c r="AI15"/>
  <c r="AE15"/>
  <c r="K15"/>
  <c r="G15"/>
  <c r="AL15" s="1"/>
  <c r="M14"/>
  <c r="AE13"/>
  <c r="K13"/>
  <c r="G13"/>
  <c r="C13"/>
  <c r="M12"/>
  <c r="AL12" s="1"/>
  <c r="AE11"/>
  <c r="K11"/>
  <c r="G11"/>
  <c r="C11"/>
  <c r="M10"/>
  <c r="AL10" s="1"/>
  <c r="AI9"/>
  <c r="AE9"/>
  <c r="AL13" i="20" l="1"/>
  <c r="AL4"/>
  <c r="AL10"/>
  <c r="AL12"/>
  <c r="AL14"/>
  <c r="AL16"/>
  <c r="AL18"/>
  <c r="AL13" i="19"/>
  <c r="AL11"/>
  <c r="AL14"/>
  <c r="AL16"/>
  <c r="F18" i="18" l="1"/>
  <c r="F19"/>
  <c r="F20"/>
  <c r="F21"/>
  <c r="F22"/>
  <c r="F23"/>
  <c r="F24"/>
  <c r="F25"/>
  <c r="F26"/>
  <c r="F27"/>
  <c r="F28"/>
  <c r="F29"/>
  <c r="E4" i="17"/>
  <c r="I4"/>
  <c r="O4"/>
  <c r="Q4"/>
  <c r="S4"/>
  <c r="U4"/>
  <c r="W4"/>
  <c r="Y4"/>
  <c r="AA4"/>
  <c r="AC4"/>
  <c r="AG4"/>
  <c r="AK4"/>
  <c r="E5"/>
  <c r="I5"/>
  <c r="O5"/>
  <c r="Q5"/>
  <c r="S5"/>
  <c r="U5"/>
  <c r="W5"/>
  <c r="Y5"/>
  <c r="AA5"/>
  <c r="AC5"/>
  <c r="AG5"/>
  <c r="AK5"/>
  <c r="E6"/>
  <c r="I6"/>
  <c r="O6"/>
  <c r="Q6"/>
  <c r="S6"/>
  <c r="U6"/>
  <c r="W6"/>
  <c r="Y6"/>
  <c r="AA6"/>
  <c r="AC6"/>
  <c r="AG6"/>
  <c r="AK6"/>
  <c r="E7"/>
  <c r="I7"/>
  <c r="O7"/>
  <c r="Q7"/>
  <c r="S7"/>
  <c r="U7"/>
  <c r="W7"/>
  <c r="Y7"/>
  <c r="AA7"/>
  <c r="AC7"/>
  <c r="AG7"/>
  <c r="AK7"/>
  <c r="E8"/>
  <c r="I8"/>
  <c r="O8"/>
  <c r="Q8"/>
  <c r="S8"/>
  <c r="U8"/>
  <c r="W8"/>
  <c r="Y8"/>
  <c r="AA8"/>
  <c r="AC8"/>
  <c r="AG8"/>
  <c r="AK8"/>
  <c r="E9"/>
  <c r="I9"/>
  <c r="O9"/>
  <c r="Q9"/>
  <c r="S9"/>
  <c r="U9"/>
  <c r="W9"/>
  <c r="Y9"/>
  <c r="AA9"/>
  <c r="AC9"/>
  <c r="AG9"/>
  <c r="AK9"/>
  <c r="E10"/>
  <c r="I10"/>
  <c r="O10"/>
  <c r="Q10"/>
  <c r="S10"/>
  <c r="U10"/>
  <c r="W10"/>
  <c r="Y10"/>
  <c r="AA10"/>
  <c r="AC10"/>
  <c r="AG10"/>
  <c r="AK10"/>
  <c r="E11"/>
  <c r="I11"/>
  <c r="O11"/>
  <c r="Q11"/>
  <c r="S11"/>
  <c r="U11"/>
  <c r="W11"/>
  <c r="Y11"/>
  <c r="AA11"/>
  <c r="AC11"/>
  <c r="AG11"/>
  <c r="AK11"/>
  <c r="E12"/>
  <c r="I12"/>
  <c r="O12"/>
  <c r="Q12"/>
  <c r="S12"/>
  <c r="U12"/>
  <c r="W12"/>
  <c r="Y12"/>
  <c r="AA12"/>
  <c r="AC12"/>
  <c r="AG12"/>
  <c r="AK12"/>
  <c r="E13"/>
  <c r="I13"/>
  <c r="O13"/>
  <c r="Q13"/>
  <c r="S13"/>
  <c r="U13"/>
  <c r="W13"/>
  <c r="Y13"/>
  <c r="AA13"/>
  <c r="AC13"/>
  <c r="AG13"/>
  <c r="AK13"/>
  <c r="E14"/>
  <c r="I14"/>
  <c r="O14"/>
  <c r="Q14"/>
  <c r="S14"/>
  <c r="U14"/>
  <c r="W14"/>
  <c r="Y14"/>
  <c r="AA14"/>
  <c r="AC14"/>
  <c r="AG14"/>
  <c r="AK14"/>
  <c r="E15"/>
  <c r="I15"/>
  <c r="K15"/>
  <c r="O15"/>
  <c r="Q15"/>
  <c r="S15"/>
  <c r="U15"/>
  <c r="W15"/>
  <c r="Y15"/>
  <c r="AA15"/>
  <c r="AC15"/>
  <c r="AE15"/>
  <c r="AG15"/>
  <c r="AI15"/>
  <c r="AK15"/>
  <c r="F23"/>
  <c r="B24"/>
  <c r="C11" s="1"/>
  <c r="B25"/>
  <c r="B26"/>
  <c r="C5" s="1"/>
  <c r="B27"/>
  <c r="C8" s="1"/>
  <c r="B30"/>
  <c r="G11" s="1"/>
  <c r="F30"/>
  <c r="B31"/>
  <c r="G7" s="1"/>
  <c r="B32"/>
  <c r="G5" s="1"/>
  <c r="B33"/>
  <c r="G8" s="1"/>
  <c r="B37"/>
  <c r="K5" s="1"/>
  <c r="E37"/>
  <c r="B38"/>
  <c r="K11" s="1"/>
  <c r="E38"/>
  <c r="B39"/>
  <c r="K13" s="1"/>
  <c r="E39"/>
  <c r="B40"/>
  <c r="K7" s="1"/>
  <c r="B43"/>
  <c r="M6" s="1"/>
  <c r="E43"/>
  <c r="B44"/>
  <c r="M12" s="1"/>
  <c r="E44"/>
  <c r="B45"/>
  <c r="M4" s="1"/>
  <c r="E45"/>
  <c r="B46"/>
  <c r="M8" s="1"/>
  <c r="H48"/>
  <c r="E49"/>
  <c r="E50"/>
  <c r="E51"/>
  <c r="H54"/>
  <c r="B55"/>
  <c r="B56"/>
  <c r="B57"/>
  <c r="B58"/>
  <c r="H60"/>
  <c r="B61"/>
  <c r="B62"/>
  <c r="B63"/>
  <c r="B64"/>
  <c r="H66"/>
  <c r="B67"/>
  <c r="B68"/>
  <c r="B69"/>
  <c r="B70"/>
  <c r="H72"/>
  <c r="B73"/>
  <c r="AE13" s="1"/>
  <c r="E73"/>
  <c r="B74"/>
  <c r="AE7" s="1"/>
  <c r="E74"/>
  <c r="B75"/>
  <c r="AE5" s="1"/>
  <c r="E75"/>
  <c r="B76"/>
  <c r="AE11" s="1"/>
  <c r="H78"/>
  <c r="B79"/>
  <c r="AI7" s="1"/>
  <c r="E79"/>
  <c r="B80"/>
  <c r="AI5" s="1"/>
  <c r="E80"/>
  <c r="B81"/>
  <c r="AI4" s="1"/>
  <c r="E81"/>
  <c r="B82"/>
  <c r="AI9" s="1"/>
  <c r="L84"/>
  <c r="E4" i="16"/>
  <c r="I4"/>
  <c r="O4"/>
  <c r="Q4"/>
  <c r="S4"/>
  <c r="U4"/>
  <c r="W4"/>
  <c r="Y4"/>
  <c r="AA4"/>
  <c r="AC4"/>
  <c r="AG4"/>
  <c r="AK4"/>
  <c r="E5"/>
  <c r="I5"/>
  <c r="O5"/>
  <c r="Q5"/>
  <c r="S5"/>
  <c r="U5"/>
  <c r="W5"/>
  <c r="Y5"/>
  <c r="AA5"/>
  <c r="AC5"/>
  <c r="AG5"/>
  <c r="AK5"/>
  <c r="E6"/>
  <c r="I6"/>
  <c r="O6"/>
  <c r="Q6"/>
  <c r="S6"/>
  <c r="U6"/>
  <c r="W6"/>
  <c r="Y6"/>
  <c r="AA6"/>
  <c r="AC6"/>
  <c r="AG6"/>
  <c r="AK6"/>
  <c r="E7"/>
  <c r="I7"/>
  <c r="O7"/>
  <c r="Q7"/>
  <c r="S7"/>
  <c r="U7"/>
  <c r="W7"/>
  <c r="Y7"/>
  <c r="AA7"/>
  <c r="AC7"/>
  <c r="AG7"/>
  <c r="AK7"/>
  <c r="E8"/>
  <c r="I8"/>
  <c r="O8"/>
  <c r="Q8"/>
  <c r="S8"/>
  <c r="U8"/>
  <c r="W8"/>
  <c r="Y8"/>
  <c r="AA8"/>
  <c r="AC8"/>
  <c r="AG8"/>
  <c r="AK8"/>
  <c r="E9"/>
  <c r="I9"/>
  <c r="O9"/>
  <c r="Q9"/>
  <c r="S9"/>
  <c r="U9"/>
  <c r="W9"/>
  <c r="Y9"/>
  <c r="AA9"/>
  <c r="AC9"/>
  <c r="AG9"/>
  <c r="AK9"/>
  <c r="E10"/>
  <c r="I10"/>
  <c r="O10"/>
  <c r="Q10"/>
  <c r="S10"/>
  <c r="U10"/>
  <c r="W10"/>
  <c r="Y10"/>
  <c r="AA10"/>
  <c r="AC10"/>
  <c r="AG10"/>
  <c r="AK10"/>
  <c r="E11"/>
  <c r="I11"/>
  <c r="O11"/>
  <c r="Q11"/>
  <c r="S11"/>
  <c r="U11"/>
  <c r="W11"/>
  <c r="Y11"/>
  <c r="AA11"/>
  <c r="AC11"/>
  <c r="AG11"/>
  <c r="AK11"/>
  <c r="E12"/>
  <c r="I12"/>
  <c r="O12"/>
  <c r="Q12"/>
  <c r="S12"/>
  <c r="U12"/>
  <c r="W12"/>
  <c r="Y12"/>
  <c r="AA12"/>
  <c r="AC12"/>
  <c r="AG12"/>
  <c r="AK12"/>
  <c r="E13"/>
  <c r="I13"/>
  <c r="O13"/>
  <c r="Q13"/>
  <c r="S13"/>
  <c r="U13"/>
  <c r="W13"/>
  <c r="Y13"/>
  <c r="AA13"/>
  <c r="AC13"/>
  <c r="AG13"/>
  <c r="AK13"/>
  <c r="E14"/>
  <c r="I14"/>
  <c r="O14"/>
  <c r="Q14"/>
  <c r="S14"/>
  <c r="U14"/>
  <c r="W14"/>
  <c r="Y14"/>
  <c r="AA14"/>
  <c r="AC14"/>
  <c r="AG14"/>
  <c r="AK14"/>
  <c r="E15"/>
  <c r="G15"/>
  <c r="I15"/>
  <c r="K15"/>
  <c r="O15"/>
  <c r="Q15"/>
  <c r="S15"/>
  <c r="U15"/>
  <c r="W15"/>
  <c r="Y15"/>
  <c r="AA15"/>
  <c r="AC15"/>
  <c r="AE15"/>
  <c r="AG15"/>
  <c r="AI15"/>
  <c r="AK15"/>
  <c r="F23"/>
  <c r="B24"/>
  <c r="C6" s="1"/>
  <c r="B25"/>
  <c r="B26"/>
  <c r="C5" s="1"/>
  <c r="B27"/>
  <c r="B30"/>
  <c r="G11" s="1"/>
  <c r="F30"/>
  <c r="B31"/>
  <c r="G7" s="1"/>
  <c r="B32"/>
  <c r="G5" s="1"/>
  <c r="B33"/>
  <c r="G8" s="1"/>
  <c r="B37"/>
  <c r="K5" s="1"/>
  <c r="E37"/>
  <c r="B38"/>
  <c r="K11" s="1"/>
  <c r="E38"/>
  <c r="B39"/>
  <c r="K13" s="1"/>
  <c r="E39"/>
  <c r="B40"/>
  <c r="K7" s="1"/>
  <c r="B43"/>
  <c r="M8" s="1"/>
  <c r="E43"/>
  <c r="B44"/>
  <c r="M4" s="1"/>
  <c r="E44"/>
  <c r="B45"/>
  <c r="M6" s="1"/>
  <c r="E45"/>
  <c r="B46"/>
  <c r="M10" s="1"/>
  <c r="H48"/>
  <c r="E49"/>
  <c r="E50"/>
  <c r="E51"/>
  <c r="H54"/>
  <c r="B55"/>
  <c r="B56"/>
  <c r="B57"/>
  <c r="B58"/>
  <c r="H60"/>
  <c r="B61"/>
  <c r="B62"/>
  <c r="B63"/>
  <c r="B64"/>
  <c r="H66"/>
  <c r="B67"/>
  <c r="B68"/>
  <c r="B69"/>
  <c r="B70"/>
  <c r="H72"/>
  <c r="B73"/>
  <c r="AE9" s="1"/>
  <c r="E73"/>
  <c r="B74"/>
  <c r="AE8" s="1"/>
  <c r="E74"/>
  <c r="B75"/>
  <c r="AE5" s="1"/>
  <c r="E75"/>
  <c r="B76"/>
  <c r="AE7" s="1"/>
  <c r="H78"/>
  <c r="B79"/>
  <c r="AI7" s="1"/>
  <c r="E79"/>
  <c r="B80"/>
  <c r="AI11" s="1"/>
  <c r="E80"/>
  <c r="B81"/>
  <c r="AI5" s="1"/>
  <c r="E81"/>
  <c r="B82"/>
  <c r="AI9" s="1"/>
  <c r="L85"/>
  <c r="M15" i="17" l="1"/>
  <c r="AI14"/>
  <c r="AE14"/>
  <c r="K14"/>
  <c r="G14"/>
  <c r="C14"/>
  <c r="M13"/>
  <c r="AI12"/>
  <c r="AE12"/>
  <c r="K12"/>
  <c r="G12"/>
  <c r="C12"/>
  <c r="AL12" s="1"/>
  <c r="M11"/>
  <c r="AL11" s="1"/>
  <c r="AI10"/>
  <c r="AE10"/>
  <c r="K10"/>
  <c r="G10"/>
  <c r="C10"/>
  <c r="M9"/>
  <c r="AI8"/>
  <c r="AE8"/>
  <c r="K8"/>
  <c r="AL8" s="1"/>
  <c r="M7"/>
  <c r="AI6"/>
  <c r="AE6"/>
  <c r="K6"/>
  <c r="G6"/>
  <c r="C6"/>
  <c r="AL6" s="1"/>
  <c r="M5"/>
  <c r="AL5" s="1"/>
  <c r="AE4"/>
  <c r="K4"/>
  <c r="G4"/>
  <c r="C4"/>
  <c r="AL4" s="1"/>
  <c r="G15"/>
  <c r="C15"/>
  <c r="AL15" s="1"/>
  <c r="M14"/>
  <c r="AI13"/>
  <c r="G13"/>
  <c r="C13"/>
  <c r="AL13" s="1"/>
  <c r="AI11"/>
  <c r="M10"/>
  <c r="AE9"/>
  <c r="K9"/>
  <c r="G9"/>
  <c r="C9"/>
  <c r="C7"/>
  <c r="AL7" s="1"/>
  <c r="M15" i="16"/>
  <c r="AI14"/>
  <c r="AE14"/>
  <c r="K14"/>
  <c r="G14"/>
  <c r="C14"/>
  <c r="M13"/>
  <c r="AI12"/>
  <c r="AE12"/>
  <c r="K12"/>
  <c r="G12"/>
  <c r="C12"/>
  <c r="M11"/>
  <c r="AI10"/>
  <c r="AE10"/>
  <c r="K10"/>
  <c r="G10"/>
  <c r="C10"/>
  <c r="AL10" s="1"/>
  <c r="M9"/>
  <c r="AI8"/>
  <c r="K8"/>
  <c r="C8"/>
  <c r="M7"/>
  <c r="AI6"/>
  <c r="AE6"/>
  <c r="K6"/>
  <c r="G6"/>
  <c r="AL6" s="1"/>
  <c r="M5"/>
  <c r="AL5" s="1"/>
  <c r="AI4"/>
  <c r="AE4"/>
  <c r="K4"/>
  <c r="G4"/>
  <c r="C4"/>
  <c r="AL4" s="1"/>
  <c r="C15"/>
  <c r="AL15" s="1"/>
  <c r="M14"/>
  <c r="AI13"/>
  <c r="AE13"/>
  <c r="G13"/>
  <c r="C13"/>
  <c r="M12"/>
  <c r="AE11"/>
  <c r="C11"/>
  <c r="K9"/>
  <c r="G9"/>
  <c r="C9"/>
  <c r="C7"/>
  <c r="AL7" s="1"/>
  <c r="AL10" i="17" l="1"/>
  <c r="AL14"/>
  <c r="AL9"/>
  <c r="AL9" i="16"/>
  <c r="AL13"/>
  <c r="AL11"/>
  <c r="AL8"/>
  <c r="AL12"/>
  <c r="AL14"/>
  <c r="C4" i="14" l="1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G5"/>
  <c r="I5"/>
  <c r="K5"/>
  <c r="M5"/>
  <c r="AL5" s="1"/>
  <c r="O5"/>
  <c r="Q5"/>
  <c r="S5"/>
  <c r="U5"/>
  <c r="W5"/>
  <c r="Y5"/>
  <c r="AA5"/>
  <c r="AC5"/>
  <c r="AE5"/>
  <c r="AG5"/>
  <c r="AI5"/>
  <c r="AK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AL7" s="1"/>
  <c r="G7"/>
  <c r="I7"/>
  <c r="K7"/>
  <c r="M7"/>
  <c r="O7"/>
  <c r="Q7"/>
  <c r="S7"/>
  <c r="U7"/>
  <c r="W7"/>
  <c r="Y7"/>
  <c r="AA7"/>
  <c r="AC7"/>
  <c r="AE7"/>
  <c r="AG7"/>
  <c r="AI7"/>
  <c r="AK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AL9" s="1"/>
  <c r="G9"/>
  <c r="I9"/>
  <c r="K9"/>
  <c r="M9"/>
  <c r="O9"/>
  <c r="Q9"/>
  <c r="S9"/>
  <c r="U9"/>
  <c r="W9"/>
  <c r="Y9"/>
  <c r="AA9"/>
  <c r="AC9"/>
  <c r="AE9"/>
  <c r="AG9"/>
  <c r="AI9"/>
  <c r="AK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L10"/>
  <c r="C11"/>
  <c r="E11"/>
  <c r="AL11" s="1"/>
  <c r="G11"/>
  <c r="I11"/>
  <c r="K11"/>
  <c r="M11"/>
  <c r="O11"/>
  <c r="Q11"/>
  <c r="S11"/>
  <c r="U11"/>
  <c r="W11"/>
  <c r="Y11"/>
  <c r="AA11"/>
  <c r="AC11"/>
  <c r="AE11"/>
  <c r="AG11"/>
  <c r="AI11"/>
  <c r="AK11"/>
  <c r="C12"/>
  <c r="E12"/>
  <c r="G12"/>
  <c r="I12"/>
  <c r="K12"/>
  <c r="M12"/>
  <c r="O12"/>
  <c r="Q12"/>
  <c r="S12"/>
  <c r="U12"/>
  <c r="W12"/>
  <c r="Y12"/>
  <c r="AA12"/>
  <c r="AC12"/>
  <c r="AE12"/>
  <c r="AG12"/>
  <c r="AI12"/>
  <c r="AK12"/>
  <c r="AL12"/>
  <c r="C13"/>
  <c r="E13"/>
  <c r="AL13" s="1"/>
  <c r="G13"/>
  <c r="I13"/>
  <c r="K13"/>
  <c r="M13"/>
  <c r="O13"/>
  <c r="Q13"/>
  <c r="S13"/>
  <c r="U13"/>
  <c r="W13"/>
  <c r="Y13"/>
  <c r="AA13"/>
  <c r="AC13"/>
  <c r="AE13"/>
  <c r="AG13"/>
  <c r="AI13"/>
  <c r="AK13"/>
  <c r="E30"/>
  <c r="E31"/>
  <c r="E32"/>
  <c r="E36"/>
  <c r="E37"/>
  <c r="E38"/>
  <c r="E42"/>
  <c r="E43"/>
  <c r="E44"/>
  <c r="E66"/>
  <c r="E67"/>
  <c r="E68"/>
  <c r="E72"/>
  <c r="E73"/>
  <c r="E74"/>
  <c r="L77"/>
  <c r="C4" i="13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G5"/>
  <c r="I5"/>
  <c r="AL5" s="1"/>
  <c r="K5"/>
  <c r="M5"/>
  <c r="O5"/>
  <c r="Q5"/>
  <c r="S5"/>
  <c r="U5"/>
  <c r="W5"/>
  <c r="Y5"/>
  <c r="AA5"/>
  <c r="AC5"/>
  <c r="AE5"/>
  <c r="AG5"/>
  <c r="AI5"/>
  <c r="AK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AL7" s="1"/>
  <c r="G7"/>
  <c r="I7"/>
  <c r="K7"/>
  <c r="M7"/>
  <c r="O7"/>
  <c r="Q7"/>
  <c r="S7"/>
  <c r="U7"/>
  <c r="W7"/>
  <c r="Y7"/>
  <c r="AA7"/>
  <c r="AC7"/>
  <c r="AE7"/>
  <c r="AG7"/>
  <c r="AI7"/>
  <c r="AK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AL9" s="1"/>
  <c r="G9"/>
  <c r="I9"/>
  <c r="K9"/>
  <c r="M9"/>
  <c r="O9"/>
  <c r="Q9"/>
  <c r="S9"/>
  <c r="U9"/>
  <c r="W9"/>
  <c r="Y9"/>
  <c r="AA9"/>
  <c r="AC9"/>
  <c r="AE9"/>
  <c r="AG9"/>
  <c r="AI9"/>
  <c r="AK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L10"/>
  <c r="C11"/>
  <c r="E11"/>
  <c r="G11"/>
  <c r="I11"/>
  <c r="K11"/>
  <c r="M11"/>
  <c r="O11"/>
  <c r="Q11"/>
  <c r="AL11" s="1"/>
  <c r="S11"/>
  <c r="U11"/>
  <c r="W11"/>
  <c r="Y11"/>
  <c r="AA11"/>
  <c r="AC11"/>
  <c r="AE11"/>
  <c r="AG11"/>
  <c r="AI11"/>
  <c r="AK11"/>
  <c r="C12"/>
  <c r="E12"/>
  <c r="G12"/>
  <c r="I12"/>
  <c r="K12"/>
  <c r="M12"/>
  <c r="O12"/>
  <c r="Q12"/>
  <c r="S12"/>
  <c r="U12"/>
  <c r="W12"/>
  <c r="Y12"/>
  <c r="AA12"/>
  <c r="AC12"/>
  <c r="AE12"/>
  <c r="AG12"/>
  <c r="AI12"/>
  <c r="AK12"/>
  <c r="AL12"/>
  <c r="C13"/>
  <c r="E13"/>
  <c r="AL13" s="1"/>
  <c r="G13"/>
  <c r="I13"/>
  <c r="K13"/>
  <c r="M13"/>
  <c r="O13"/>
  <c r="Q13"/>
  <c r="S13"/>
  <c r="U13"/>
  <c r="W13"/>
  <c r="Y13"/>
  <c r="AA13"/>
  <c r="AC13"/>
  <c r="AE13"/>
  <c r="AG13"/>
  <c r="AI13"/>
  <c r="AK13"/>
  <c r="E30"/>
  <c r="E31"/>
  <c r="E32"/>
  <c r="E36"/>
  <c r="E37"/>
  <c r="E38"/>
  <c r="E42"/>
  <c r="E43"/>
  <c r="E44"/>
  <c r="E66"/>
  <c r="E67"/>
  <c r="E68"/>
  <c r="E72"/>
  <c r="E73"/>
  <c r="E74"/>
  <c r="L77"/>
  <c r="J4" i="12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E4" i="11"/>
  <c r="I4"/>
  <c r="Q4"/>
  <c r="U4"/>
  <c r="Y4"/>
  <c r="AC4"/>
  <c r="AG4"/>
  <c r="AK4"/>
  <c r="E5"/>
  <c r="I5"/>
  <c r="Q5"/>
  <c r="U5"/>
  <c r="Y5"/>
  <c r="AC5"/>
  <c r="AG5"/>
  <c r="AK5"/>
  <c r="Q6"/>
  <c r="I7"/>
  <c r="Y7"/>
  <c r="AC7"/>
  <c r="AG7"/>
  <c r="E8"/>
  <c r="I8"/>
  <c r="Q8"/>
  <c r="U8"/>
  <c r="Y8"/>
  <c r="AC8"/>
  <c r="AG8"/>
  <c r="AK8"/>
  <c r="E9"/>
  <c r="I9"/>
  <c r="U9"/>
  <c r="Y9"/>
  <c r="AC9"/>
  <c r="AG9"/>
  <c r="AK9"/>
  <c r="Q10"/>
  <c r="Y10"/>
  <c r="AC10"/>
  <c r="AG10"/>
  <c r="E11"/>
  <c r="I11"/>
  <c r="Q11"/>
  <c r="Y11"/>
  <c r="AC11"/>
  <c r="AG11"/>
  <c r="AK11"/>
  <c r="E12"/>
  <c r="I12"/>
  <c r="U12"/>
  <c r="Y12"/>
  <c r="AC12"/>
  <c r="AG12"/>
  <c r="AK12"/>
  <c r="E13"/>
  <c r="I13"/>
  <c r="U13"/>
  <c r="Y13"/>
  <c r="AC13"/>
  <c r="AG13"/>
  <c r="AK13"/>
  <c r="E14"/>
  <c r="I14"/>
  <c r="Q14"/>
  <c r="U14"/>
  <c r="Y14"/>
  <c r="AC14"/>
  <c r="AG14"/>
  <c r="AK14"/>
  <c r="Q15"/>
  <c r="E16"/>
  <c r="I16"/>
  <c r="Q16"/>
  <c r="U16"/>
  <c r="Y16"/>
  <c r="AC16"/>
  <c r="AG16"/>
  <c r="AK16"/>
  <c r="E17"/>
  <c r="I17"/>
  <c r="Q17"/>
  <c r="Y17"/>
  <c r="AG17"/>
  <c r="AK17"/>
  <c r="E19"/>
  <c r="I19"/>
  <c r="Q19"/>
  <c r="U19"/>
  <c r="Y19"/>
  <c r="AC19"/>
  <c r="AG19"/>
  <c r="AK19"/>
  <c r="Q20"/>
  <c r="U20"/>
  <c r="Q21"/>
  <c r="E22"/>
  <c r="I22"/>
  <c r="U22"/>
  <c r="Y22"/>
  <c r="AC22"/>
  <c r="AG22"/>
  <c r="AK22"/>
  <c r="K23"/>
  <c r="Q23"/>
  <c r="F27"/>
  <c r="E6" s="1"/>
  <c r="F34"/>
  <c r="I6" s="1"/>
  <c r="B41"/>
  <c r="K7" s="1"/>
  <c r="D41"/>
  <c r="B42"/>
  <c r="K11" s="1"/>
  <c r="D42"/>
  <c r="B43"/>
  <c r="K5" s="1"/>
  <c r="D43"/>
  <c r="B44"/>
  <c r="K9" s="1"/>
  <c r="B47"/>
  <c r="M12" s="1"/>
  <c r="D47"/>
  <c r="B48"/>
  <c r="M4" s="1"/>
  <c r="D48"/>
  <c r="B49"/>
  <c r="M8" s="1"/>
  <c r="D49"/>
  <c r="B50"/>
  <c r="M6" s="1"/>
  <c r="F52"/>
  <c r="Q12" s="1"/>
  <c r="D53"/>
  <c r="D54"/>
  <c r="D55"/>
  <c r="B58"/>
  <c r="B60" s="1"/>
  <c r="F58"/>
  <c r="U6" s="1"/>
  <c r="B59"/>
  <c r="B61"/>
  <c r="S5" s="1"/>
  <c r="B64"/>
  <c r="B66" s="1"/>
  <c r="F64"/>
  <c r="Y6" s="1"/>
  <c r="B65"/>
  <c r="B67"/>
  <c r="W5" s="1"/>
  <c r="B70"/>
  <c r="B72" s="1"/>
  <c r="F70"/>
  <c r="AC6" s="1"/>
  <c r="B73"/>
  <c r="AA5" s="1"/>
  <c r="B76"/>
  <c r="B77" s="1"/>
  <c r="F76"/>
  <c r="AG6" s="1"/>
  <c r="D77"/>
  <c r="B78"/>
  <c r="AE5" s="1"/>
  <c r="D78"/>
  <c r="B79"/>
  <c r="AE9" s="1"/>
  <c r="D79"/>
  <c r="B80"/>
  <c r="AE23" s="1"/>
  <c r="F82"/>
  <c r="AK6" s="1"/>
  <c r="D83"/>
  <c r="D84"/>
  <c r="D85"/>
  <c r="L88"/>
  <c r="Q4" i="10"/>
  <c r="U4"/>
  <c r="Y4"/>
  <c r="AG4"/>
  <c r="Q5"/>
  <c r="AC5"/>
  <c r="AK5"/>
  <c r="E6"/>
  <c r="I6"/>
  <c r="Q6"/>
  <c r="U6"/>
  <c r="Y6"/>
  <c r="AC6"/>
  <c r="AG6"/>
  <c r="AK6"/>
  <c r="E7"/>
  <c r="I7"/>
  <c r="U7"/>
  <c r="Y7"/>
  <c r="AC7"/>
  <c r="AG7"/>
  <c r="AK7"/>
  <c r="E8"/>
  <c r="I8"/>
  <c r="Q8"/>
  <c r="U8"/>
  <c r="AK8"/>
  <c r="Q9"/>
  <c r="E10"/>
  <c r="I10"/>
  <c r="U10"/>
  <c r="Y10"/>
  <c r="AC10"/>
  <c r="AG10"/>
  <c r="AK10"/>
  <c r="Q11"/>
  <c r="E12"/>
  <c r="I12"/>
  <c r="Q12"/>
  <c r="U12"/>
  <c r="Y12"/>
  <c r="AC12"/>
  <c r="AG12"/>
  <c r="AK12"/>
  <c r="E14"/>
  <c r="I14"/>
  <c r="U14"/>
  <c r="Y14"/>
  <c r="AC14"/>
  <c r="AG14"/>
  <c r="E15"/>
  <c r="I15"/>
  <c r="Q15"/>
  <c r="U15"/>
  <c r="Y15"/>
  <c r="AC15"/>
  <c r="AG15"/>
  <c r="AK15"/>
  <c r="E16"/>
  <c r="I16"/>
  <c r="Q16"/>
  <c r="U16"/>
  <c r="Y16"/>
  <c r="AC16"/>
  <c r="AG16"/>
  <c r="AK16"/>
  <c r="E17"/>
  <c r="I17"/>
  <c r="Q17"/>
  <c r="U17"/>
  <c r="Y17"/>
  <c r="AC17"/>
  <c r="AG17"/>
  <c r="AK17"/>
  <c r="Y18"/>
  <c r="AG18"/>
  <c r="AK18"/>
  <c r="I19"/>
  <c r="Y19"/>
  <c r="AC19"/>
  <c r="AG19"/>
  <c r="E21"/>
  <c r="I21"/>
  <c r="U21"/>
  <c r="Y21"/>
  <c r="AC21"/>
  <c r="AG21"/>
  <c r="AI21"/>
  <c r="AK21"/>
  <c r="E22"/>
  <c r="I22"/>
  <c r="Q22"/>
  <c r="U22"/>
  <c r="AC22"/>
  <c r="C23"/>
  <c r="G23"/>
  <c r="K23"/>
  <c r="Q23"/>
  <c r="AA23"/>
  <c r="AE23"/>
  <c r="AI23"/>
  <c r="AK23"/>
  <c r="F26"/>
  <c r="E4" s="1"/>
  <c r="B27"/>
  <c r="C21" s="1"/>
  <c r="B28"/>
  <c r="C7" s="1"/>
  <c r="B29"/>
  <c r="C5" s="1"/>
  <c r="B30"/>
  <c r="C9" s="1"/>
  <c r="B33"/>
  <c r="G21" s="1"/>
  <c r="F33"/>
  <c r="I4" s="1"/>
  <c r="B34"/>
  <c r="G7" s="1"/>
  <c r="B35"/>
  <c r="G5" s="1"/>
  <c r="B36"/>
  <c r="B40"/>
  <c r="K7" s="1"/>
  <c r="D40"/>
  <c r="B41"/>
  <c r="K15" s="1"/>
  <c r="D41"/>
  <c r="B42"/>
  <c r="K9" s="1"/>
  <c r="D42"/>
  <c r="B43"/>
  <c r="K5" s="1"/>
  <c r="B46"/>
  <c r="M6" s="1"/>
  <c r="D46"/>
  <c r="B47"/>
  <c r="M12" s="1"/>
  <c r="D47"/>
  <c r="B48"/>
  <c r="M4" s="1"/>
  <c r="D48"/>
  <c r="B49"/>
  <c r="M20" s="1"/>
  <c r="F51"/>
  <c r="Q10" s="1"/>
  <c r="B52"/>
  <c r="O13" s="1"/>
  <c r="D52"/>
  <c r="B53"/>
  <c r="O17" s="1"/>
  <c r="D53"/>
  <c r="B54"/>
  <c r="O5" s="1"/>
  <c r="D54"/>
  <c r="B55"/>
  <c r="O11" s="1"/>
  <c r="F57"/>
  <c r="U18" s="1"/>
  <c r="B58"/>
  <c r="B59"/>
  <c r="S13" s="1"/>
  <c r="B60"/>
  <c r="S5" s="1"/>
  <c r="B61"/>
  <c r="S4" s="1"/>
  <c r="F63"/>
  <c r="Y8" s="1"/>
  <c r="B64"/>
  <c r="B65"/>
  <c r="W13" s="1"/>
  <c r="B66"/>
  <c r="W5" s="1"/>
  <c r="B67"/>
  <c r="W23" s="1"/>
  <c r="F69"/>
  <c r="AC4" s="1"/>
  <c r="B70"/>
  <c r="B71"/>
  <c r="AA13" s="1"/>
  <c r="B72"/>
  <c r="AA5" s="1"/>
  <c r="B73"/>
  <c r="AA9" s="1"/>
  <c r="F75"/>
  <c r="AG8" s="1"/>
  <c r="B76"/>
  <c r="AE13" s="1"/>
  <c r="D76"/>
  <c r="B77"/>
  <c r="AE7" s="1"/>
  <c r="D77"/>
  <c r="B78"/>
  <c r="AE5" s="1"/>
  <c r="D78"/>
  <c r="B79"/>
  <c r="AE4" s="1"/>
  <c r="F81"/>
  <c r="AK4" s="1"/>
  <c r="B82"/>
  <c r="AI7" s="1"/>
  <c r="D82"/>
  <c r="B83"/>
  <c r="AI11" s="1"/>
  <c r="D83"/>
  <c r="B84"/>
  <c r="AI5" s="1"/>
  <c r="D84"/>
  <c r="B85"/>
  <c r="AI9" s="1"/>
  <c r="L87"/>
  <c r="C4" i="8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AL5" s="1"/>
  <c r="G5"/>
  <c r="I5"/>
  <c r="K5"/>
  <c r="M5"/>
  <c r="O5"/>
  <c r="Q5"/>
  <c r="S5"/>
  <c r="U5"/>
  <c r="W5"/>
  <c r="Y5"/>
  <c r="AA5"/>
  <c r="AC5"/>
  <c r="AE5"/>
  <c r="AG5"/>
  <c r="AI5"/>
  <c r="AK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AL7" s="1"/>
  <c r="G7"/>
  <c r="I7"/>
  <c r="K7"/>
  <c r="M7"/>
  <c r="O7"/>
  <c r="Q7"/>
  <c r="S7"/>
  <c r="U7"/>
  <c r="W7"/>
  <c r="Y7"/>
  <c r="AA7"/>
  <c r="AC7"/>
  <c r="AE7"/>
  <c r="AG7"/>
  <c r="AI7"/>
  <c r="AK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AL9" s="1"/>
  <c r="G9"/>
  <c r="I9"/>
  <c r="K9"/>
  <c r="M9"/>
  <c r="O9"/>
  <c r="Q9"/>
  <c r="S9"/>
  <c r="U9"/>
  <c r="W9"/>
  <c r="Y9"/>
  <c r="AA9"/>
  <c r="AC9"/>
  <c r="AE9"/>
  <c r="AG9"/>
  <c r="AI9"/>
  <c r="AK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L10"/>
  <c r="C11"/>
  <c r="E11"/>
  <c r="AL11" s="1"/>
  <c r="G11"/>
  <c r="I11"/>
  <c r="K11"/>
  <c r="M11"/>
  <c r="O11"/>
  <c r="Q11"/>
  <c r="S11"/>
  <c r="U11"/>
  <c r="W11"/>
  <c r="Y11"/>
  <c r="AA11"/>
  <c r="AC11"/>
  <c r="AE11"/>
  <c r="AG11"/>
  <c r="AI11"/>
  <c r="AK11"/>
  <c r="C12"/>
  <c r="E12"/>
  <c r="G12"/>
  <c r="I12"/>
  <c r="K12"/>
  <c r="M12"/>
  <c r="O12"/>
  <c r="Q12"/>
  <c r="S12"/>
  <c r="U12"/>
  <c r="W12"/>
  <c r="Y12"/>
  <c r="AA12"/>
  <c r="AC12"/>
  <c r="AE12"/>
  <c r="AG12"/>
  <c r="AI12"/>
  <c r="AK12"/>
  <c r="AL12"/>
  <c r="C13"/>
  <c r="E13"/>
  <c r="AL13" s="1"/>
  <c r="G13"/>
  <c r="I13"/>
  <c r="K13"/>
  <c r="M13"/>
  <c r="O13"/>
  <c r="Q13"/>
  <c r="S13"/>
  <c r="U13"/>
  <c r="W13"/>
  <c r="Y13"/>
  <c r="AA13"/>
  <c r="AC13"/>
  <c r="AE13"/>
  <c r="AG13"/>
  <c r="AI13"/>
  <c r="AK13"/>
  <c r="D15"/>
  <c r="E32"/>
  <c r="E33"/>
  <c r="E34"/>
  <c r="E38"/>
  <c r="E39"/>
  <c r="E40"/>
  <c r="E44"/>
  <c r="E45"/>
  <c r="E46"/>
  <c r="E68"/>
  <c r="E69"/>
  <c r="E70"/>
  <c r="E74"/>
  <c r="E75"/>
  <c r="E76"/>
  <c r="L79"/>
  <c r="C4" i="7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G5"/>
  <c r="I5"/>
  <c r="K5"/>
  <c r="M5"/>
  <c r="O5"/>
  <c r="Q5"/>
  <c r="S5"/>
  <c r="U5"/>
  <c r="W5"/>
  <c r="Y5"/>
  <c r="AA5"/>
  <c r="AC5"/>
  <c r="AE5"/>
  <c r="AG5"/>
  <c r="AI5"/>
  <c r="AK5"/>
  <c r="AL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G7"/>
  <c r="I7"/>
  <c r="K7"/>
  <c r="M7"/>
  <c r="O7"/>
  <c r="Q7"/>
  <c r="S7"/>
  <c r="U7"/>
  <c r="W7"/>
  <c r="Y7"/>
  <c r="AA7"/>
  <c r="AC7"/>
  <c r="AE7"/>
  <c r="AG7"/>
  <c r="AI7"/>
  <c r="AK7"/>
  <c r="AL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G9"/>
  <c r="I9"/>
  <c r="K9"/>
  <c r="M9"/>
  <c r="O9"/>
  <c r="Q9"/>
  <c r="S9"/>
  <c r="U9"/>
  <c r="W9"/>
  <c r="Y9"/>
  <c r="AA9"/>
  <c r="AC9"/>
  <c r="AE9"/>
  <c r="AG9"/>
  <c r="AI9"/>
  <c r="AK9"/>
  <c r="AL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L10"/>
  <c r="C11"/>
  <c r="E11"/>
  <c r="G11"/>
  <c r="I11"/>
  <c r="K11"/>
  <c r="M11"/>
  <c r="O11"/>
  <c r="Q11"/>
  <c r="S11"/>
  <c r="U11"/>
  <c r="W11"/>
  <c r="Y11"/>
  <c r="AA11"/>
  <c r="AC11"/>
  <c r="AE11"/>
  <c r="AG11"/>
  <c r="AI11"/>
  <c r="AK11"/>
  <c r="AL11"/>
  <c r="C12"/>
  <c r="E12"/>
  <c r="AL12" s="1"/>
  <c r="G12"/>
  <c r="I12"/>
  <c r="K12"/>
  <c r="M12"/>
  <c r="O12"/>
  <c r="Q12"/>
  <c r="S12"/>
  <c r="U12"/>
  <c r="W12"/>
  <c r="Y12"/>
  <c r="AA12"/>
  <c r="AC12"/>
  <c r="AE12"/>
  <c r="AG12"/>
  <c r="AI12"/>
  <c r="AK12"/>
  <c r="C13"/>
  <c r="E13"/>
  <c r="G13"/>
  <c r="I13"/>
  <c r="K13"/>
  <c r="M13"/>
  <c r="O13"/>
  <c r="Q13"/>
  <c r="S13"/>
  <c r="U13"/>
  <c r="W13"/>
  <c r="Y13"/>
  <c r="AA13"/>
  <c r="AC13"/>
  <c r="AE13"/>
  <c r="AG13"/>
  <c r="AI13"/>
  <c r="AL13" s="1"/>
  <c r="AK13"/>
  <c r="E32"/>
  <c r="E33"/>
  <c r="E34"/>
  <c r="E38"/>
  <c r="E39"/>
  <c r="E40"/>
  <c r="E44"/>
  <c r="E45"/>
  <c r="E46"/>
  <c r="E68"/>
  <c r="E69"/>
  <c r="E70"/>
  <c r="E74"/>
  <c r="E75"/>
  <c r="E76"/>
  <c r="L79"/>
  <c r="AA7" i="11" l="1"/>
  <c r="AA11"/>
  <c r="AA13"/>
  <c r="AA19"/>
  <c r="AA21"/>
  <c r="AA22"/>
  <c r="W13"/>
  <c r="W21"/>
  <c r="W10"/>
  <c r="W16"/>
  <c r="W18"/>
  <c r="W22"/>
  <c r="S13"/>
  <c r="S21"/>
  <c r="S16"/>
  <c r="S18"/>
  <c r="S20"/>
  <c r="S22"/>
  <c r="AE13"/>
  <c r="AE21"/>
  <c r="AE10"/>
  <c r="AE16"/>
  <c r="AE22"/>
  <c r="B71"/>
  <c r="B82"/>
  <c r="B74"/>
  <c r="B68"/>
  <c r="B62"/>
  <c r="B52"/>
  <c r="B33"/>
  <c r="B27"/>
  <c r="AK23"/>
  <c r="AG23"/>
  <c r="AC23"/>
  <c r="Y23"/>
  <c r="U23"/>
  <c r="M23"/>
  <c r="I23"/>
  <c r="E23"/>
  <c r="K22"/>
  <c r="AK21"/>
  <c r="AG21"/>
  <c r="AC21"/>
  <c r="Y21"/>
  <c r="U21"/>
  <c r="M21"/>
  <c r="I21"/>
  <c r="E21"/>
  <c r="AE20"/>
  <c r="AA20"/>
  <c r="W20"/>
  <c r="K20"/>
  <c r="M19"/>
  <c r="AE18"/>
  <c r="AA18"/>
  <c r="K18"/>
  <c r="AC17"/>
  <c r="U17"/>
  <c r="M17"/>
  <c r="K16"/>
  <c r="AK15"/>
  <c r="AG15"/>
  <c r="AC15"/>
  <c r="Y15"/>
  <c r="U15"/>
  <c r="M15"/>
  <c r="I15"/>
  <c r="E15"/>
  <c r="AE14"/>
  <c r="AA14"/>
  <c r="W14"/>
  <c r="S14"/>
  <c r="K14"/>
  <c r="Q13"/>
  <c r="M13"/>
  <c r="AE12"/>
  <c r="K12"/>
  <c r="U11"/>
  <c r="M11"/>
  <c r="AA10"/>
  <c r="S10"/>
  <c r="K10"/>
  <c r="Q9"/>
  <c r="M9"/>
  <c r="AE8"/>
  <c r="K8"/>
  <c r="AK7"/>
  <c r="U7"/>
  <c r="Q7"/>
  <c r="M7"/>
  <c r="E7"/>
  <c r="AE6"/>
  <c r="AA6"/>
  <c r="W6"/>
  <c r="S6"/>
  <c r="K6"/>
  <c r="M5"/>
  <c r="AE4"/>
  <c r="AA4"/>
  <c r="W4"/>
  <c r="S4"/>
  <c r="K4"/>
  <c r="S23"/>
  <c r="Q22"/>
  <c r="M22"/>
  <c r="K21"/>
  <c r="AK20"/>
  <c r="AG20"/>
  <c r="AC20"/>
  <c r="Y20"/>
  <c r="M20"/>
  <c r="I20"/>
  <c r="E20"/>
  <c r="AE19"/>
  <c r="W19"/>
  <c r="S19"/>
  <c r="K19"/>
  <c r="AK18"/>
  <c r="AG18"/>
  <c r="AC18"/>
  <c r="Y18"/>
  <c r="U18"/>
  <c r="Q18"/>
  <c r="M18"/>
  <c r="I18"/>
  <c r="E18"/>
  <c r="AE17"/>
  <c r="AA17"/>
  <c r="W17"/>
  <c r="S17"/>
  <c r="K17"/>
  <c r="M16"/>
  <c r="AE15"/>
  <c r="AA15"/>
  <c r="W15"/>
  <c r="S15"/>
  <c r="K15"/>
  <c r="M14"/>
  <c r="K13"/>
  <c r="AE11"/>
  <c r="W11"/>
  <c r="S11"/>
  <c r="AK10"/>
  <c r="U10"/>
  <c r="M10"/>
  <c r="I10"/>
  <c r="E10"/>
  <c r="AA9"/>
  <c r="W9"/>
  <c r="S9"/>
  <c r="AE7"/>
  <c r="W7"/>
  <c r="S7"/>
  <c r="AG23" i="10"/>
  <c r="AC23"/>
  <c r="Y23"/>
  <c r="U23"/>
  <c r="M23"/>
  <c r="I23"/>
  <c r="E23"/>
  <c r="AI22"/>
  <c r="AE22"/>
  <c r="AA22"/>
  <c r="W22"/>
  <c r="S22"/>
  <c r="O22"/>
  <c r="K22"/>
  <c r="G22"/>
  <c r="C22"/>
  <c r="Q21"/>
  <c r="M21"/>
  <c r="AI20"/>
  <c r="AE20"/>
  <c r="AA20"/>
  <c r="W20"/>
  <c r="S20"/>
  <c r="O20"/>
  <c r="K20"/>
  <c r="G20"/>
  <c r="C20"/>
  <c r="AK19"/>
  <c r="U19"/>
  <c r="Q19"/>
  <c r="M19"/>
  <c r="E19"/>
  <c r="AI18"/>
  <c r="AE18"/>
  <c r="AA18"/>
  <c r="W18"/>
  <c r="S18"/>
  <c r="O18"/>
  <c r="K18"/>
  <c r="G18"/>
  <c r="C18"/>
  <c r="M17"/>
  <c r="AI16"/>
  <c r="AE16"/>
  <c r="AA16"/>
  <c r="W16"/>
  <c r="S16"/>
  <c r="O16"/>
  <c r="K16"/>
  <c r="G16"/>
  <c r="C16"/>
  <c r="M15"/>
  <c r="AI14"/>
  <c r="AE14"/>
  <c r="AA14"/>
  <c r="W14"/>
  <c r="S14"/>
  <c r="O14"/>
  <c r="K14"/>
  <c r="G14"/>
  <c r="C14"/>
  <c r="AK13"/>
  <c r="AG13"/>
  <c r="AC13"/>
  <c r="Y13"/>
  <c r="U13"/>
  <c r="Q13"/>
  <c r="M13"/>
  <c r="I13"/>
  <c r="E13"/>
  <c r="AI12"/>
  <c r="AE12"/>
  <c r="AA12"/>
  <c r="W12"/>
  <c r="S12"/>
  <c r="O12"/>
  <c r="K12"/>
  <c r="G12"/>
  <c r="C12"/>
  <c r="AK11"/>
  <c r="AG11"/>
  <c r="AC11"/>
  <c r="Y11"/>
  <c r="U11"/>
  <c r="M11"/>
  <c r="I11"/>
  <c r="E11"/>
  <c r="AI10"/>
  <c r="AE10"/>
  <c r="AA10"/>
  <c r="W10"/>
  <c r="S10"/>
  <c r="O10"/>
  <c r="K10"/>
  <c r="G10"/>
  <c r="C10"/>
  <c r="AK9"/>
  <c r="AG9"/>
  <c r="AC9"/>
  <c r="Y9"/>
  <c r="U9"/>
  <c r="M9"/>
  <c r="I9"/>
  <c r="E9"/>
  <c r="AL9" s="1"/>
  <c r="AI8"/>
  <c r="AE8"/>
  <c r="AA8"/>
  <c r="W8"/>
  <c r="S8"/>
  <c r="O8"/>
  <c r="K8"/>
  <c r="G8"/>
  <c r="C8"/>
  <c r="Q7"/>
  <c r="M7"/>
  <c r="AL7" s="1"/>
  <c r="AI6"/>
  <c r="AE6"/>
  <c r="AA6"/>
  <c r="W6"/>
  <c r="S6"/>
  <c r="O6"/>
  <c r="K6"/>
  <c r="G6"/>
  <c r="C6"/>
  <c r="AL6" s="1"/>
  <c r="AG5"/>
  <c r="Y5"/>
  <c r="U5"/>
  <c r="M5"/>
  <c r="I5"/>
  <c r="E5"/>
  <c r="AL5" s="1"/>
  <c r="AI4"/>
  <c r="AA4"/>
  <c r="W4"/>
  <c r="O4"/>
  <c r="K4"/>
  <c r="G4"/>
  <c r="C4"/>
  <c r="S23"/>
  <c r="O23"/>
  <c r="AK22"/>
  <c r="AG22"/>
  <c r="Y22"/>
  <c r="M22"/>
  <c r="AE21"/>
  <c r="AA21"/>
  <c r="W21"/>
  <c r="S21"/>
  <c r="O21"/>
  <c r="K21"/>
  <c r="AL21" s="1"/>
  <c r="AK20"/>
  <c r="AG20"/>
  <c r="AC20"/>
  <c r="Y20"/>
  <c r="U20"/>
  <c r="Q20"/>
  <c r="I20"/>
  <c r="E20"/>
  <c r="AI19"/>
  <c r="AE19"/>
  <c r="AA19"/>
  <c r="W19"/>
  <c r="S19"/>
  <c r="O19"/>
  <c r="K19"/>
  <c r="G19"/>
  <c r="C19"/>
  <c r="AL19" s="1"/>
  <c r="AC18"/>
  <c r="Q18"/>
  <c r="M18"/>
  <c r="I18"/>
  <c r="E18"/>
  <c r="AI17"/>
  <c r="AE17"/>
  <c r="AA17"/>
  <c r="W17"/>
  <c r="S17"/>
  <c r="K17"/>
  <c r="G17"/>
  <c r="C17"/>
  <c r="M16"/>
  <c r="AI15"/>
  <c r="AE15"/>
  <c r="AA15"/>
  <c r="W15"/>
  <c r="S15"/>
  <c r="O15"/>
  <c r="G15"/>
  <c r="C15"/>
  <c r="AK14"/>
  <c r="Q14"/>
  <c r="M14"/>
  <c r="AI13"/>
  <c r="K13"/>
  <c r="G13"/>
  <c r="C13"/>
  <c r="AE11"/>
  <c r="AA11"/>
  <c r="W11"/>
  <c r="S11"/>
  <c r="K11"/>
  <c r="G11"/>
  <c r="C11"/>
  <c r="M10"/>
  <c r="AE9"/>
  <c r="W9"/>
  <c r="S9"/>
  <c r="O9"/>
  <c r="G9"/>
  <c r="AC8"/>
  <c r="M8"/>
  <c r="AA7"/>
  <c r="W7"/>
  <c r="S7"/>
  <c r="O7"/>
  <c r="C4" i="5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AL5" s="1"/>
  <c r="G5"/>
  <c r="I5"/>
  <c r="K5"/>
  <c r="M5"/>
  <c r="O5"/>
  <c r="Q5"/>
  <c r="S5"/>
  <c r="U5"/>
  <c r="W5"/>
  <c r="Y5"/>
  <c r="AA5"/>
  <c r="AC5"/>
  <c r="AE5"/>
  <c r="AG5"/>
  <c r="AI5"/>
  <c r="AK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AL7" s="1"/>
  <c r="G7"/>
  <c r="I7"/>
  <c r="K7"/>
  <c r="M7"/>
  <c r="O7"/>
  <c r="Q7"/>
  <c r="S7"/>
  <c r="U7"/>
  <c r="W7"/>
  <c r="Y7"/>
  <c r="AA7"/>
  <c r="AC7"/>
  <c r="AE7"/>
  <c r="AG7"/>
  <c r="AI7"/>
  <c r="AK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AL9" s="1"/>
  <c r="G9"/>
  <c r="I9"/>
  <c r="K9"/>
  <c r="M9"/>
  <c r="O9"/>
  <c r="Q9"/>
  <c r="S9"/>
  <c r="U9"/>
  <c r="W9"/>
  <c r="Y9"/>
  <c r="AA9"/>
  <c r="AC9"/>
  <c r="AE9"/>
  <c r="AG9"/>
  <c r="AI9"/>
  <c r="AK9"/>
  <c r="C10"/>
  <c r="E10"/>
  <c r="G10"/>
  <c r="I10"/>
  <c r="K10"/>
  <c r="M10"/>
  <c r="O10"/>
  <c r="Q10"/>
  <c r="S10"/>
  <c r="U10"/>
  <c r="W10"/>
  <c r="Y10"/>
  <c r="AA10"/>
  <c r="AC10"/>
  <c r="AE10"/>
  <c r="AG10"/>
  <c r="AI10"/>
  <c r="AK10"/>
  <c r="AL10"/>
  <c r="C11"/>
  <c r="E11"/>
  <c r="AL11" s="1"/>
  <c r="G11"/>
  <c r="I11"/>
  <c r="K11"/>
  <c r="M11"/>
  <c r="O11"/>
  <c r="Q11"/>
  <c r="S11"/>
  <c r="U11"/>
  <c r="W11"/>
  <c r="Y11"/>
  <c r="AA11"/>
  <c r="AC11"/>
  <c r="AE11"/>
  <c r="AG11"/>
  <c r="AI11"/>
  <c r="AK11"/>
  <c r="C12"/>
  <c r="E12"/>
  <c r="G12"/>
  <c r="I12"/>
  <c r="K12"/>
  <c r="M12"/>
  <c r="O12"/>
  <c r="Q12"/>
  <c r="S12"/>
  <c r="U12"/>
  <c r="W12"/>
  <c r="Y12"/>
  <c r="AA12"/>
  <c r="AC12"/>
  <c r="AE12"/>
  <c r="AG12"/>
  <c r="AI12"/>
  <c r="AL12" s="1"/>
  <c r="AK12"/>
  <c r="C13"/>
  <c r="E13"/>
  <c r="AL13" s="1"/>
  <c r="G13"/>
  <c r="I13"/>
  <c r="K13"/>
  <c r="M13"/>
  <c r="O13"/>
  <c r="Q13"/>
  <c r="S13"/>
  <c r="U13"/>
  <c r="W13"/>
  <c r="Y13"/>
  <c r="AA13"/>
  <c r="AC13"/>
  <c r="AE13"/>
  <c r="AG13"/>
  <c r="AI13"/>
  <c r="AK13"/>
  <c r="AH22"/>
  <c r="AH23"/>
  <c r="AH24"/>
  <c r="E32"/>
  <c r="E33"/>
  <c r="E34"/>
  <c r="E38"/>
  <c r="E39"/>
  <c r="E40"/>
  <c r="E44"/>
  <c r="E45"/>
  <c r="E46"/>
  <c r="E68"/>
  <c r="E69"/>
  <c r="E70"/>
  <c r="E74"/>
  <c r="E75"/>
  <c r="E76"/>
  <c r="L79"/>
  <c r="C4" i="4"/>
  <c r="E4"/>
  <c r="G4"/>
  <c r="I4"/>
  <c r="K4"/>
  <c r="M4"/>
  <c r="O4"/>
  <c r="Q4"/>
  <c r="S4"/>
  <c r="U4"/>
  <c r="W4"/>
  <c r="Y4"/>
  <c r="AA4"/>
  <c r="AC4"/>
  <c r="AE4"/>
  <c r="AG4"/>
  <c r="AI4"/>
  <c r="AK4"/>
  <c r="AL4"/>
  <c r="C5"/>
  <c r="E5"/>
  <c r="AL5" s="1"/>
  <c r="G5"/>
  <c r="I5"/>
  <c r="K5"/>
  <c r="M5"/>
  <c r="O5"/>
  <c r="Q5"/>
  <c r="S5"/>
  <c r="U5"/>
  <c r="W5"/>
  <c r="Y5"/>
  <c r="AA5"/>
  <c r="AC5"/>
  <c r="AE5"/>
  <c r="AG5"/>
  <c r="AI5"/>
  <c r="AK5"/>
  <c r="C6"/>
  <c r="E6"/>
  <c r="G6"/>
  <c r="I6"/>
  <c r="K6"/>
  <c r="M6"/>
  <c r="O6"/>
  <c r="Q6"/>
  <c r="S6"/>
  <c r="U6"/>
  <c r="W6"/>
  <c r="Y6"/>
  <c r="AA6"/>
  <c r="AC6"/>
  <c r="AE6"/>
  <c r="AG6"/>
  <c r="AI6"/>
  <c r="AK6"/>
  <c r="AL6"/>
  <c r="C7"/>
  <c r="E7"/>
  <c r="AL7" s="1"/>
  <c r="G7"/>
  <c r="I7"/>
  <c r="K7"/>
  <c r="M7"/>
  <c r="O7"/>
  <c r="Q7"/>
  <c r="S7"/>
  <c r="U7"/>
  <c r="W7"/>
  <c r="Y7"/>
  <c r="AA7"/>
  <c r="AC7"/>
  <c r="AE7"/>
  <c r="AG7"/>
  <c r="AI7"/>
  <c r="AK7"/>
  <c r="C8"/>
  <c r="E8"/>
  <c r="G8"/>
  <c r="I8"/>
  <c r="K8"/>
  <c r="M8"/>
  <c r="O8"/>
  <c r="Q8"/>
  <c r="S8"/>
  <c r="U8"/>
  <c r="W8"/>
  <c r="Y8"/>
  <c r="AA8"/>
  <c r="AC8"/>
  <c r="AE8"/>
  <c r="AG8"/>
  <c r="AI8"/>
  <c r="AK8"/>
  <c r="AL8"/>
  <c r="C9"/>
  <c r="E9"/>
  <c r="AL9" s="1"/>
  <c r="G9"/>
  <c r="I9"/>
  <c r="K9"/>
  <c r="M9"/>
  <c r="O9"/>
  <c r="Q9"/>
  <c r="S9"/>
  <c r="U9"/>
  <c r="W9"/>
  <c r="Y9"/>
  <c r="AA9"/>
  <c r="AC9"/>
  <c r="AE9"/>
  <c r="AG9"/>
  <c r="AI9"/>
  <c r="AK9"/>
  <c r="C10"/>
  <c r="E10"/>
  <c r="G10"/>
  <c r="I10"/>
  <c r="K10"/>
  <c r="M10"/>
  <c r="O10"/>
  <c r="Q10"/>
  <c r="S10"/>
  <c r="U10"/>
  <c r="W10"/>
  <c r="Y10"/>
  <c r="AA10"/>
  <c r="AC10"/>
  <c r="AE10"/>
  <c r="AL10" s="1"/>
  <c r="AG10"/>
  <c r="AI10"/>
  <c r="AK10"/>
  <c r="C11"/>
  <c r="E11"/>
  <c r="AL11" s="1"/>
  <c r="G11"/>
  <c r="I11"/>
  <c r="K11"/>
  <c r="M11"/>
  <c r="O11"/>
  <c r="Q11"/>
  <c r="S11"/>
  <c r="U11"/>
  <c r="W11"/>
  <c r="Y11"/>
  <c r="AA11"/>
  <c r="AC11"/>
  <c r="AE11"/>
  <c r="AG11"/>
  <c r="AI11"/>
  <c r="AK11"/>
  <c r="C12"/>
  <c r="E12"/>
  <c r="G12"/>
  <c r="I12"/>
  <c r="K12"/>
  <c r="M12"/>
  <c r="O12"/>
  <c r="Q12"/>
  <c r="S12"/>
  <c r="U12"/>
  <c r="W12"/>
  <c r="Y12"/>
  <c r="AA12"/>
  <c r="AC12"/>
  <c r="AE12"/>
  <c r="AG12"/>
  <c r="AI12"/>
  <c r="AK12"/>
  <c r="AL12"/>
  <c r="C13"/>
  <c r="E13"/>
  <c r="AL13" s="1"/>
  <c r="G13"/>
  <c r="I13"/>
  <c r="K13"/>
  <c r="M13"/>
  <c r="O13"/>
  <c r="Q13"/>
  <c r="S13"/>
  <c r="U13"/>
  <c r="W13"/>
  <c r="Y13"/>
  <c r="AA13"/>
  <c r="AC13"/>
  <c r="AE13"/>
  <c r="AG13"/>
  <c r="AI13"/>
  <c r="AK13"/>
  <c r="E32"/>
  <c r="E33"/>
  <c r="E34"/>
  <c r="E38"/>
  <c r="E39"/>
  <c r="E40"/>
  <c r="E44"/>
  <c r="E45"/>
  <c r="E46"/>
  <c r="E68"/>
  <c r="E69"/>
  <c r="E70"/>
  <c r="E74"/>
  <c r="E75"/>
  <c r="E76"/>
  <c r="L79"/>
  <c r="B28" i="11" l="1"/>
  <c r="C22" s="1"/>
  <c r="B30"/>
  <c r="B29"/>
  <c r="B31"/>
  <c r="C15" s="1"/>
  <c r="B53"/>
  <c r="B54"/>
  <c r="B55"/>
  <c r="B56"/>
  <c r="W23"/>
  <c r="W8"/>
  <c r="W12"/>
  <c r="B83"/>
  <c r="B84"/>
  <c r="B85"/>
  <c r="B86"/>
  <c r="B36"/>
  <c r="B34"/>
  <c r="G22" s="1"/>
  <c r="B35"/>
  <c r="B37"/>
  <c r="S8"/>
  <c r="S12"/>
  <c r="AA23"/>
  <c r="AA8"/>
  <c r="AA12"/>
  <c r="AA16"/>
  <c r="AL11" i="10"/>
  <c r="AL15"/>
  <c r="AL13"/>
  <c r="AL17"/>
  <c r="AL4"/>
  <c r="AL8"/>
  <c r="AL12"/>
  <c r="AL14"/>
  <c r="AL16"/>
  <c r="AL18"/>
  <c r="AL20"/>
  <c r="AL23"/>
  <c r="AL10"/>
  <c r="AL22"/>
  <c r="AI15" i="11" l="1"/>
  <c r="AI19"/>
  <c r="AI4"/>
  <c r="AI12"/>
  <c r="AI18"/>
  <c r="AI9"/>
  <c r="AI17"/>
  <c r="AI6"/>
  <c r="AI14"/>
  <c r="AI20"/>
  <c r="O5"/>
  <c r="O9"/>
  <c r="O10"/>
  <c r="O16"/>
  <c r="O22"/>
  <c r="AL22" s="1"/>
  <c r="O13"/>
  <c r="O15"/>
  <c r="O21"/>
  <c r="O4"/>
  <c r="O20"/>
  <c r="C11"/>
  <c r="C16"/>
  <c r="G5"/>
  <c r="G7"/>
  <c r="G11"/>
  <c r="G13"/>
  <c r="G17"/>
  <c r="G19"/>
  <c r="G21"/>
  <c r="G10"/>
  <c r="G14"/>
  <c r="G16"/>
  <c r="G20"/>
  <c r="G9"/>
  <c r="G15"/>
  <c r="G23"/>
  <c r="G4"/>
  <c r="G6"/>
  <c r="G8"/>
  <c r="G12"/>
  <c r="G18"/>
  <c r="AI5"/>
  <c r="AI21"/>
  <c r="AI23"/>
  <c r="AI8"/>
  <c r="AI10"/>
  <c r="AI7"/>
  <c r="AI11"/>
  <c r="AI13"/>
  <c r="AI16"/>
  <c r="AI22"/>
  <c r="O11"/>
  <c r="O6"/>
  <c r="O8"/>
  <c r="O12"/>
  <c r="O14"/>
  <c r="O7"/>
  <c r="O17"/>
  <c r="O19"/>
  <c r="O18"/>
  <c r="O23"/>
  <c r="C5"/>
  <c r="AL5" s="1"/>
  <c r="C7"/>
  <c r="AL7" s="1"/>
  <c r="C9"/>
  <c r="AL9" s="1"/>
  <c r="C13"/>
  <c r="AL13" s="1"/>
  <c r="C17"/>
  <c r="AL17" s="1"/>
  <c r="C19"/>
  <c r="AL19" s="1"/>
  <c r="C21"/>
  <c r="AL21" s="1"/>
  <c r="C23"/>
  <c r="AL23" s="1"/>
  <c r="C4"/>
  <c r="AL4" s="1"/>
  <c r="C6"/>
  <c r="AL6" s="1"/>
  <c r="C8"/>
  <c r="AL8" s="1"/>
  <c r="C10"/>
  <c r="AL10" s="1"/>
  <c r="C12"/>
  <c r="AL12" s="1"/>
  <c r="C14"/>
  <c r="AL14" s="1"/>
  <c r="C18"/>
  <c r="AL18" s="1"/>
  <c r="C20"/>
  <c r="AL20" s="1"/>
  <c r="AL15"/>
  <c r="AL16" l="1"/>
  <c r="AL11"/>
</calcChain>
</file>

<file path=xl/comments1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10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11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13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14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6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7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8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comments9.xml><?xml version="1.0" encoding="utf-8"?>
<comments xmlns="http://schemas.openxmlformats.org/spreadsheetml/2006/main">
  <authors>
    <author>Autor</author>
  </authors>
  <commentList>
    <comment ref="P4" authorId="0">
      <text>
        <r>
          <rPr>
            <b/>
            <sz val="9"/>
            <color indexed="81"/>
            <rFont val="Tahoma"/>
            <family val="2"/>
            <charset val="238"/>
          </rPr>
          <t>Znači da se povećao broj dana u odnosu na prošlu godinu!</t>
        </r>
      </text>
    </comment>
  </commentList>
</comments>
</file>

<file path=xl/sharedStrings.xml><?xml version="1.0" encoding="utf-8"?>
<sst xmlns="http://schemas.openxmlformats.org/spreadsheetml/2006/main" count="3907" uniqueCount="927">
  <si>
    <t>MAX BODOVI KOJE PODUZEĆE MOŽE OSTVARITI</t>
  </si>
  <si>
    <t>&gt;95,59%</t>
  </si>
  <si>
    <t>Q3</t>
  </si>
  <si>
    <t>&gt;76,3% i &lt;=95,59%</t>
  </si>
  <si>
    <t>negativan trend</t>
  </si>
  <si>
    <t>Q2</t>
  </si>
  <si>
    <t>&gt;32,15% i &lt;=76,3%</t>
  </si>
  <si>
    <t>pozitivan trend</t>
  </si>
  <si>
    <t>Q1</t>
  </si>
  <si>
    <t>&lt;=32,15%</t>
  </si>
  <si>
    <t>Kvartili</t>
  </si>
  <si>
    <t>ROCE</t>
  </si>
  <si>
    <t>&gt;1,38719</t>
  </si>
  <si>
    <t>&gt;1,2873 i &lt;=1,38719</t>
  </si>
  <si>
    <t>&gt;1,106575 i &lt;=1,2873</t>
  </si>
  <si>
    <t>&lt;=1,106575</t>
  </si>
  <si>
    <t>EKONOMIČNOST PRODAJE</t>
  </si>
  <si>
    <t>&gt; 14,80</t>
  </si>
  <si>
    <t>&gt; 2,62 i &lt;= 14,80</t>
  </si>
  <si>
    <t>&gt; - 8,71 i &lt; =2,62</t>
  </si>
  <si>
    <t>&lt; =- 8,71</t>
  </si>
  <si>
    <t>NETO MARŽA</t>
  </si>
  <si>
    <t>&gt; 20,2725</t>
  </si>
  <si>
    <t>&gt; 5,27 i &lt;= 20,2725</t>
  </si>
  <si>
    <t>&gt; - 4,11 i &lt;= 5,27</t>
  </si>
  <si>
    <t>&lt;= - 4,11</t>
  </si>
  <si>
    <t>OPERATIVNA PROFITNA MARŽA</t>
  </si>
  <si>
    <t>&gt; 26,78</t>
  </si>
  <si>
    <t>&gt; 9,53 i &lt;= 26,78</t>
  </si>
  <si>
    <t>&gt; - 0,44 i &lt;= 9,53</t>
  </si>
  <si>
    <t>&lt;= - 0,44</t>
  </si>
  <si>
    <t>BRUTO PROFITNA MARŽA</t>
  </si>
  <si>
    <t>&gt;22,555</t>
  </si>
  <si>
    <t>&gt;-0,885 i &lt;=22,555</t>
  </si>
  <si>
    <t>&gt;-55,565 i &lt;=-0,885</t>
  </si>
  <si>
    <t>&lt;=-55,565</t>
  </si>
  <si>
    <t>NOVČANI CIKLUS U DANIMA</t>
  </si>
  <si>
    <t>&gt;83,49%</t>
  </si>
  <si>
    <t>&gt;1,63% i &lt;=83,49%</t>
  </si>
  <si>
    <t>&gt;-12,36% i &lt;=1,63%</t>
  </si>
  <si>
    <t>&lt;=-12,36%</t>
  </si>
  <si>
    <t>Promjena profita</t>
  </si>
  <si>
    <t>&gt;12,17%</t>
  </si>
  <si>
    <t>&gt;4,26% i &lt;=12,17%</t>
  </si>
  <si>
    <t>&gt;1,95% i &lt;=4,26%</t>
  </si>
  <si>
    <t>&lt;=1,95%</t>
  </si>
  <si>
    <t>CAGR PRIHODA</t>
  </si>
  <si>
    <t>&gt; 59,40</t>
  </si>
  <si>
    <t>&gt; 13,30 i &lt;= 59,40</t>
  </si>
  <si>
    <t>&gt; 0 i &lt;= 13,30</t>
  </si>
  <si>
    <t>&lt;= 0</t>
  </si>
  <si>
    <t>ROE</t>
  </si>
  <si>
    <t>&gt; 20,20</t>
  </si>
  <si>
    <t>&gt; 3 i &lt;= 20,20</t>
  </si>
  <si>
    <t>&gt; - 4 i &lt;= 3</t>
  </si>
  <si>
    <t>&lt;= -4</t>
  </si>
  <si>
    <t>ROA</t>
  </si>
  <si>
    <t>Ukupno bodova</t>
  </si>
  <si>
    <t>Dinamički</t>
  </si>
  <si>
    <t>Statički</t>
  </si>
  <si>
    <t>Pokazatelj</t>
  </si>
  <si>
    <t>10.</t>
  </si>
  <si>
    <t>Đuro Đaković Holding d.d.</t>
  </si>
  <si>
    <t>4.</t>
  </si>
  <si>
    <t>Del. Savj. Usluge d.o.o.</t>
  </si>
  <si>
    <t>5.</t>
  </si>
  <si>
    <t>Deloitte d.o.o.</t>
  </si>
  <si>
    <t>8.</t>
  </si>
  <si>
    <t>Odv. Dr. Hanž&amp;P. d.o.o.</t>
  </si>
  <si>
    <t>3.</t>
  </si>
  <si>
    <t>Baker Tilly Disc. d.o.o.</t>
  </si>
  <si>
    <t>7.</t>
  </si>
  <si>
    <t>Merck S&amp;D d.o.o.</t>
  </si>
  <si>
    <t>6.</t>
  </si>
  <si>
    <t>KPMG Croatia d.o.o.</t>
  </si>
  <si>
    <t>2.</t>
  </si>
  <si>
    <t>Zag. Otp. vode d.o.o.</t>
  </si>
  <si>
    <t>1.</t>
  </si>
  <si>
    <t>Valam. hot. i ljet. d.o.o.</t>
  </si>
  <si>
    <t>9.</t>
  </si>
  <si>
    <t>Adris Grupa d.d.</t>
  </si>
  <si>
    <t>RANG</t>
  </si>
  <si>
    <t>UKUPNI BODOVI</t>
  </si>
  <si>
    <t xml:space="preserve">Broj bodova </t>
  </si>
  <si>
    <t>DK         0 = "-"</t>
  </si>
  <si>
    <t>ROCE B</t>
  </si>
  <si>
    <t>Ekonomičnost prodaje B</t>
  </si>
  <si>
    <t>Neto profitna marža P</t>
  </si>
  <si>
    <t>Operativna profitna marža/Operativna dobit P</t>
  </si>
  <si>
    <t>Bruto profitna marža P</t>
  </si>
  <si>
    <t>Novčani ciklus u danima P</t>
  </si>
  <si>
    <t>Promjena profita u odnosu na prošlu godinu B</t>
  </si>
  <si>
    <t>CAGR prihoda B</t>
  </si>
  <si>
    <t>Broj bodova</t>
  </si>
  <si>
    <t>ROE P</t>
  </si>
  <si>
    <t>DINAMIČKA KOMPONENTA 0 = "-"</t>
  </si>
  <si>
    <t>ROA P</t>
  </si>
  <si>
    <t>Popis poduzeća</t>
  </si>
  <si>
    <t>PODACI ZA IZRAČUN ZA FK INDEKS; Consulting 2013.</t>
  </si>
  <si>
    <t>&gt;97,21%</t>
  </si>
  <si>
    <t>&gt;93,54% i &lt;=97,21%</t>
  </si>
  <si>
    <t>&gt;28,47% i &lt;=93,54%</t>
  </si>
  <si>
    <t>&lt;=28,47%</t>
  </si>
  <si>
    <t>&gt;1,51089</t>
  </si>
  <si>
    <t>&gt;1,232078 i &lt;=1,51089</t>
  </si>
  <si>
    <t>&gt;1,033468 i &lt;=1,232078</t>
  </si>
  <si>
    <t>&lt;=1,033468</t>
  </si>
  <si>
    <t>&gt;14,725</t>
  </si>
  <si>
    <t>&gt;-6,78 i &lt;=14,725</t>
  </si>
  <si>
    <t>&gt;-19,055 i &lt;=-6,78</t>
  </si>
  <si>
    <t>&lt;=-19,055</t>
  </si>
  <si>
    <t>&gt;48,73%</t>
  </si>
  <si>
    <t>&gt;11,75% i &lt;=48,73%</t>
  </si>
  <si>
    <t>&gt;-20,64% i &lt;=11,75%</t>
  </si>
  <si>
    <t>&lt;= -20,64%</t>
  </si>
  <si>
    <t>&gt;17,55%</t>
  </si>
  <si>
    <t>&gt;5,99% i &lt;=17,55%</t>
  </si>
  <si>
    <t>&gt;-1,67% i &lt;=5,99%</t>
  </si>
  <si>
    <t>&lt;=-1,67%</t>
  </si>
  <si>
    <t>&gt;93,54% i &lt;97,21%</t>
  </si>
  <si>
    <t>&gt;28,47% i &lt;93,54%</t>
  </si>
  <si>
    <t>&lt;28,47%</t>
  </si>
  <si>
    <t>PODACI ZA IZRAČUN ZA FK INDEKS; Consulting 2012.</t>
  </si>
  <si>
    <t>Merck Sharp&amp;Dohme d.o.o.</t>
  </si>
  <si>
    <t>Odvjetničko Društvo Hanžeković&amp;Partneri d.o.o.</t>
  </si>
  <si>
    <t>Zagrebačke Otpadne Vode d.o.o.</t>
  </si>
  <si>
    <t>Deloitte Savjetodavne Usluge d.o.o.</t>
  </si>
  <si>
    <t>Baker Tilly Discordia d.o.o.</t>
  </si>
  <si>
    <t>Valamar Hoteli i Ljetovališta d.o.o.</t>
  </si>
  <si>
    <t>&gt;10,28%</t>
  </si>
  <si>
    <t>&gt;6,68% i &lt;=10,28%</t>
  </si>
  <si>
    <t>&gt;2,21% i &lt;=6,68%</t>
  </si>
  <si>
    <t>&lt;=2,21%</t>
  </si>
  <si>
    <t>&gt;1,223675</t>
  </si>
  <si>
    <t>&gt;1,17555 i &lt;=1,223675</t>
  </si>
  <si>
    <t>&gt;1,10535 i &lt;=1,17555</t>
  </si>
  <si>
    <t>&lt;=1,10535</t>
  </si>
  <si>
    <t>&gt; 3,10</t>
  </si>
  <si>
    <t>&gt; 0 i &lt;= 3,10</t>
  </si>
  <si>
    <t>&gt; -39,7275 i &lt;= 0</t>
  </si>
  <si>
    <t>&lt; =-39,7275</t>
  </si>
  <si>
    <t>&gt; 6,04</t>
  </si>
  <si>
    <t>&gt; 0,0550 i &lt;= 6,04</t>
  </si>
  <si>
    <t>&gt; -26,0375 i &lt;= 0,0550</t>
  </si>
  <si>
    <t>&lt;= -26,0375</t>
  </si>
  <si>
    <t>&gt; 13,6525</t>
  </si>
  <si>
    <t>&gt; 1,8650 i &lt;= 13,6525</t>
  </si>
  <si>
    <t>&gt; -23,8325 i &lt;= 1,8650</t>
  </si>
  <si>
    <t>&lt; =-23,8325</t>
  </si>
  <si>
    <t>&gt;-5,885</t>
  </si>
  <si>
    <t>&gt;-20,28 i &lt;=-5,885</t>
  </si>
  <si>
    <t>&gt;-36,865 i &lt;=-20,28</t>
  </si>
  <si>
    <t>&lt;=-36,865</t>
  </si>
  <si>
    <t>&gt;100,11%</t>
  </si>
  <si>
    <t>&gt;29,14% i &lt;=100,11%</t>
  </si>
  <si>
    <t>&gt;10,41% i &lt;=29,14%</t>
  </si>
  <si>
    <t>&lt;=10,41%</t>
  </si>
  <si>
    <t>&gt;11,18%</t>
  </si>
  <si>
    <t>&gt;8,42% i &lt;=11,18%</t>
  </si>
  <si>
    <t>&gt;5,41% i &lt;=8,42%</t>
  </si>
  <si>
    <t>&lt;=5,41%</t>
  </si>
  <si>
    <t>&gt; 47,15</t>
  </si>
  <si>
    <t>&gt; 7 i &lt;= 47,15</t>
  </si>
  <si>
    <t>&gt; -2,1750 i &lt;= 7</t>
  </si>
  <si>
    <t>&lt;= -2,1750</t>
  </si>
  <si>
    <t>&gt; 3,20</t>
  </si>
  <si>
    <t>&gt; -0,10 i &lt;= 3,20</t>
  </si>
  <si>
    <t>&gt; - 17 i &lt;= -0,10</t>
  </si>
  <si>
    <t>&lt;= -17</t>
  </si>
  <si>
    <t>HUP Zagreb d.d.</t>
  </si>
  <si>
    <t>Jadr. Luks. Hoteli d.d.</t>
  </si>
  <si>
    <t>Solaris d.d.</t>
  </si>
  <si>
    <t>Liburnia Riviera d.d.</t>
  </si>
  <si>
    <t>Globalna hrana d.o.o.</t>
  </si>
  <si>
    <t>Arenaturist d.d.</t>
  </si>
  <si>
    <t>Istraturist Umag d.o.o.</t>
  </si>
  <si>
    <t>Plava Laguna d.d.</t>
  </si>
  <si>
    <t>Maistra d.d.</t>
  </si>
  <si>
    <t>Valamar Riviera d.d.</t>
  </si>
  <si>
    <t>PODACI ZA IZRAČUN ZA FK INDEKS; Hoteli i restorani 2013.</t>
  </si>
  <si>
    <t>PODACI ZA IZRAČUN ZA FK INDEKS; Hoteli i restorani 2012.</t>
  </si>
  <si>
    <t>Jadranski Luksuzni Hoteli d.d.</t>
  </si>
  <si>
    <t>Globalna Hrana d.o.o.</t>
  </si>
  <si>
    <t>-</t>
  </si>
  <si>
    <t>Istraturist Umag d.d.</t>
  </si>
  <si>
    <t>2013.</t>
  </si>
  <si>
    <t>2012.</t>
  </si>
  <si>
    <t>&gt; 9,92</t>
  </si>
  <si>
    <t>&gt; 6,69 i &lt;= 9,92</t>
  </si>
  <si>
    <t>&gt; 3,91 i &lt;= 6,69</t>
  </si>
  <si>
    <t>&lt;= 3,91</t>
  </si>
  <si>
    <t>&gt; 1,089</t>
  </si>
  <si>
    <t>&gt; 1,038 i &lt;= 1,089</t>
  </si>
  <si>
    <t>&gt; 1,013 i &lt;= 1,038</t>
  </si>
  <si>
    <t>&lt;= 1,013</t>
  </si>
  <si>
    <t>&gt; 4,91</t>
  </si>
  <si>
    <t>&gt; 0,77 i &lt;= 4,91</t>
  </si>
  <si>
    <t>&gt; - 10,59 i &lt;= 0,77</t>
  </si>
  <si>
    <t>&lt;= - 10,59</t>
  </si>
  <si>
    <t>&gt; 7,92</t>
  </si>
  <si>
    <t>&gt; 2,12 i &lt;= 7,92</t>
  </si>
  <si>
    <t>&gt; - 8,43 i &lt;= 2,12</t>
  </si>
  <si>
    <t>&lt;= - 8,43</t>
  </si>
  <si>
    <t>&gt; 14,22</t>
  </si>
  <si>
    <t>&gt; 5,46 i &lt;= 14,22</t>
  </si>
  <si>
    <t>&gt; - 3,38 i &lt;= 5,46</t>
  </si>
  <si>
    <t>&lt;= - 3,38</t>
  </si>
  <si>
    <t>&gt; 73,97</t>
  </si>
  <si>
    <t>&gt; 60,43 i &lt;= 73,97</t>
  </si>
  <si>
    <t>&gt; 33,71 i &lt;= 60,43</t>
  </si>
  <si>
    <t>&lt;= 33,71</t>
  </si>
  <si>
    <t>&gt; 51,40</t>
  </si>
  <si>
    <t>&gt; 3,94 i &lt;= 51,40</t>
  </si>
  <si>
    <t>&gt; -39,31 i &lt;= 3,94</t>
  </si>
  <si>
    <t>&lt;= -39,31</t>
  </si>
  <si>
    <t>&gt; 7,83</t>
  </si>
  <si>
    <t>&gt; 3,96 i &lt;= 7,83</t>
  </si>
  <si>
    <t>&gt; 0,36 i &lt;= 3,96</t>
  </si>
  <si>
    <t>&lt;= 0,36</t>
  </si>
  <si>
    <t>&gt; 34,30</t>
  </si>
  <si>
    <t>&gt; 6 i &lt;= 34,30</t>
  </si>
  <si>
    <t>&gt; 0 i &lt;= 6</t>
  </si>
  <si>
    <t>&gt; 6,20</t>
  </si>
  <si>
    <t>&gt; 1,10 i &lt;= 6,20</t>
  </si>
  <si>
    <t>&gt; - 4,80 i &lt;= 1,10</t>
  </si>
  <si>
    <t>&lt;= -4,8</t>
  </si>
  <si>
    <t>KIM mljekara Karlovac</t>
  </si>
  <si>
    <t xml:space="preserve">Meggle </t>
  </si>
  <si>
    <t>Danica MI d.o.o.</t>
  </si>
  <si>
    <t>Perutnina Ptuj</t>
  </si>
  <si>
    <t>Granolio d.d.</t>
  </si>
  <si>
    <t>PPK Karlovačka MI</t>
  </si>
  <si>
    <t>Zvijezda d.d.</t>
  </si>
  <si>
    <t xml:space="preserve">Dukat </t>
  </si>
  <si>
    <t>MI braće Pivac</t>
  </si>
  <si>
    <t>VIRO</t>
  </si>
  <si>
    <t>Vindija</t>
  </si>
  <si>
    <t>Tvornica šećera Osijek</t>
  </si>
  <si>
    <t>Sladorana Županja</t>
  </si>
  <si>
    <t>Podravka d.d.</t>
  </si>
  <si>
    <t>PIK Vrbovec</t>
  </si>
  <si>
    <t>Ledo d.d.</t>
  </si>
  <si>
    <t>Kraš d.d.</t>
  </si>
  <si>
    <t>Gavrilović d.o.o.</t>
  </si>
  <si>
    <t>Franck d.d.</t>
  </si>
  <si>
    <t>Cedevita d.o.o.</t>
  </si>
  <si>
    <t>Marža bruto operativnih zarada P</t>
  </si>
  <si>
    <t>PODACI ZA IZRAČUN ZA FK INDEKS; PREHRAMBENA DJELATNOST 2012.</t>
  </si>
  <si>
    <t>&gt; 6,73</t>
  </si>
  <si>
    <t>&gt; 5,82 i &lt;= 6,73</t>
  </si>
  <si>
    <t>&gt; 3,31 i &lt;= 5,82</t>
  </si>
  <si>
    <t>&lt;= 3,31</t>
  </si>
  <si>
    <t>&gt; 1,057</t>
  </si>
  <si>
    <t>&gt; 1,035 i &lt;= 1,057</t>
  </si>
  <si>
    <t>&gt; 1,012 i &lt;= 1,035</t>
  </si>
  <si>
    <t>&lt;= 1,012</t>
  </si>
  <si>
    <t>&gt; 94,87</t>
  </si>
  <si>
    <t>&gt; 64,26 i &lt;= 94,87</t>
  </si>
  <si>
    <t>&gt; 43,88 i &lt;= 64,26</t>
  </si>
  <si>
    <t>&lt;= 43,88</t>
  </si>
  <si>
    <t>&gt; 27,07</t>
  </si>
  <si>
    <t>&gt; -32,90 i &lt;= 27,07</t>
  </si>
  <si>
    <t>&gt; -64,15 i &lt;= -32,90</t>
  </si>
  <si>
    <t>&lt;= -64,15</t>
  </si>
  <si>
    <t>&gt; 6,27</t>
  </si>
  <si>
    <t>&gt; 2,16 i &lt;= 6,27</t>
  </si>
  <si>
    <t>&gt; -0,11 i &lt;= 2,16</t>
  </si>
  <si>
    <t>&lt;= -0,11</t>
  </si>
  <si>
    <t xml:space="preserve">Ekonomičnost </t>
  </si>
  <si>
    <t>Neto profitna</t>
  </si>
  <si>
    <t>Operativna</t>
  </si>
  <si>
    <t>Bruto profitna</t>
  </si>
  <si>
    <t>Novčani ciklus</t>
  </si>
  <si>
    <t>Promjena</t>
  </si>
  <si>
    <t>CAGR</t>
  </si>
  <si>
    <t>St dev</t>
  </si>
  <si>
    <t>Sredina</t>
  </si>
  <si>
    <t>Mlinar</t>
  </si>
  <si>
    <t>Mlin i pekare d.o.o.</t>
  </si>
  <si>
    <t>PODACI ZA IZRAČUN ZA FK INDEKS; PREHRAMBENA DJELATNOST 2013.</t>
  </si>
  <si>
    <t>Rezultat</t>
  </si>
  <si>
    <t>Poduzeće</t>
  </si>
  <si>
    <t>RANG 2013.</t>
  </si>
  <si>
    <t>RANG 2012.</t>
  </si>
  <si>
    <t>&gt; 5,88%</t>
  </si>
  <si>
    <t>&gt; 3,94% i &lt;= 5,88%</t>
  </si>
  <si>
    <t>&gt; 2,25% i &lt;= 3,94%</t>
  </si>
  <si>
    <t>&lt;= 2,25 %</t>
  </si>
  <si>
    <t>&gt; 1,0769</t>
  </si>
  <si>
    <t>&gt; 1,0426 i &lt;= 1,0769</t>
  </si>
  <si>
    <t>&gt; 1,0302 i &lt;= 1,0426</t>
  </si>
  <si>
    <t>&lt;= 1,0302</t>
  </si>
  <si>
    <t>&gt; 4,25</t>
  </si>
  <si>
    <t>&gt; 0,57 i &lt;= 4,25</t>
  </si>
  <si>
    <t>&gt; -24,57 i &lt;= 0,57</t>
  </si>
  <si>
    <t>&lt;= - 24,57</t>
  </si>
  <si>
    <t>&gt; 8,7475</t>
  </si>
  <si>
    <t>&gt; 1,81 i &lt;= 8,7475</t>
  </si>
  <si>
    <t>&gt; - 15,4050 i &lt;= 1,81</t>
  </si>
  <si>
    <t>&lt;= - 15,4050</t>
  </si>
  <si>
    <t>&gt; 23,06</t>
  </si>
  <si>
    <t>&gt; 7,10 i &lt;= 23,06</t>
  </si>
  <si>
    <t>&gt; - 7,00 i &lt;= 7,10</t>
  </si>
  <si>
    <t>&lt;= - 7,00</t>
  </si>
  <si>
    <t xml:space="preserve"> &gt; 253,41</t>
  </si>
  <si>
    <t>&gt; 212,38 i &lt;=253,41</t>
  </si>
  <si>
    <t>&gt; 133,02 i &lt;= 212,38</t>
  </si>
  <si>
    <t>&lt;= 133,02</t>
  </si>
  <si>
    <t>&gt; - 28,66%</t>
  </si>
  <si>
    <t>&gt; -57,9% i &lt;= - 28,66%</t>
  </si>
  <si>
    <t>&gt; - 85,43% i &lt;= - 57,9%</t>
  </si>
  <si>
    <t>&lt;= - 85,43%</t>
  </si>
  <si>
    <t>&gt; 12,89%</t>
  </si>
  <si>
    <t>&gt; 4,62% i &lt;= 12,89%</t>
  </si>
  <si>
    <t>&gt; 1,60% i &lt;= 4,62%</t>
  </si>
  <si>
    <t>&lt;= 1,60%</t>
  </si>
  <si>
    <t>&gt; 32,30</t>
  </si>
  <si>
    <t>&gt; 4,50 i &lt;= 32,30</t>
  </si>
  <si>
    <t>&gt; - 1,10 i &lt;= 4,50</t>
  </si>
  <si>
    <t>&lt;= - 1,10</t>
  </si>
  <si>
    <t>&gt; 4,00</t>
  </si>
  <si>
    <t>&gt; 0,50 i &lt;= 4,00</t>
  </si>
  <si>
    <t>&gt; - 5,025 i &lt;= 0,50</t>
  </si>
  <si>
    <t>&lt;= - 5,0250</t>
  </si>
  <si>
    <t>Cromaris d.d.</t>
  </si>
  <si>
    <t>Feropromet d.o.o.</t>
  </si>
  <si>
    <t>Novi agrar d.o.o.</t>
  </si>
  <si>
    <t>Pioneer sjeme d.o.o.</t>
  </si>
  <si>
    <t>Kutjevo d.d.</t>
  </si>
  <si>
    <t>VUPIK d.d.</t>
  </si>
  <si>
    <t>PIK Vinkovci</t>
  </si>
  <si>
    <t>Koka d.d.</t>
  </si>
  <si>
    <t>Žito d.o.o.</t>
  </si>
  <si>
    <t>Belje d.d.</t>
  </si>
  <si>
    <t>PODACI ZA IZRAČUN ZA FK INDEKS; POLJOPRIVREDA 2013.</t>
  </si>
  <si>
    <t>&gt; 13,28%</t>
  </si>
  <si>
    <t>&gt; 7,65% i &lt;= 13,28%</t>
  </si>
  <si>
    <t>&gt; 5,56% i &lt;= 7,65%</t>
  </si>
  <si>
    <t>&lt;= 5,56 %</t>
  </si>
  <si>
    <t>&gt; 1,1028</t>
  </si>
  <si>
    <t>&gt; 1,0614 i &lt;= 1,1028</t>
  </si>
  <si>
    <t>&gt; 1,0371 i &lt;= 1,0614</t>
  </si>
  <si>
    <t>&lt;= 1,0371</t>
  </si>
  <si>
    <t>&gt; 225,87</t>
  </si>
  <si>
    <t>&gt; 167,34 i &lt;= 225,87</t>
  </si>
  <si>
    <t>&gt; 45,37 i &lt;= 167,34</t>
  </si>
  <si>
    <t>&lt;= 45,37</t>
  </si>
  <si>
    <t>&gt; 194,67%</t>
  </si>
  <si>
    <t>&gt; -21,15% i &lt;= 194,67%</t>
  </si>
  <si>
    <t>&gt; - 42,83% i &lt;= -21,15%</t>
  </si>
  <si>
    <t>&lt;= -42,83%</t>
  </si>
  <si>
    <t>&gt; 5,25%</t>
  </si>
  <si>
    <t>&gt; 3,13% i &lt; 5,25%</t>
  </si>
  <si>
    <t>&gt; 1,22% i &lt;= 3,13%</t>
  </si>
  <si>
    <t>&lt;= 1,22%</t>
  </si>
  <si>
    <t>PP Orahovica</t>
  </si>
  <si>
    <t>Fermopromet d.o.o.</t>
  </si>
  <si>
    <t>Vindon d.o.o.</t>
  </si>
  <si>
    <t>PODACI ZA IZRAČUN ZA FK INDEKS; POLJOPRIVREDA 2012.</t>
  </si>
  <si>
    <t>Apsolutni pomak</t>
  </si>
  <si>
    <t>Popis poduzeća 2012</t>
  </si>
  <si>
    <t>&gt; 42,39%</t>
  </si>
  <si>
    <t>&gt; 17,3% i &lt;= 42,39%</t>
  </si>
  <si>
    <t>Negativan trend</t>
  </si>
  <si>
    <t>&gt; 7,47% i &lt;= 17,3%</t>
  </si>
  <si>
    <t>Pozitivan trend</t>
  </si>
  <si>
    <t>&lt;= 7,47 %</t>
  </si>
  <si>
    <t>&gt; 1,24624</t>
  </si>
  <si>
    <t>&gt; 1,108736 i &lt;= 1,24624</t>
  </si>
  <si>
    <t>&gt; 1,040039 i &lt;= 1,108736</t>
  </si>
  <si>
    <t>&lt;= 1,040039</t>
  </si>
  <si>
    <t>&gt; 13,07</t>
  </si>
  <si>
    <t>&gt; 1,91 i &lt;= 13,07</t>
  </si>
  <si>
    <t>&gt; -10,86 i &lt;= 1,91</t>
  </si>
  <si>
    <t>&lt;= -10,86</t>
  </si>
  <si>
    <t>&gt; 17,69</t>
  </si>
  <si>
    <t>&gt; 4,01 i &lt;= 17,69</t>
  </si>
  <si>
    <t>&gt; -6,09 i &lt;= 4,01</t>
  </si>
  <si>
    <t>&lt;= -6,09</t>
  </si>
  <si>
    <t>&gt; 23,89</t>
  </si>
  <si>
    <t>&gt; 7,50 i &lt;= 23,89</t>
  </si>
  <si>
    <t>&gt; -3,60 i &lt;= 7,50</t>
  </si>
  <si>
    <t>&lt;= -3,60</t>
  </si>
  <si>
    <t>Q4</t>
  </si>
  <si>
    <t>&gt; 32,45</t>
  </si>
  <si>
    <t>&gt; 16,84 i &lt;= 32,45</t>
  </si>
  <si>
    <t>&gt; -109,348 i &lt;= 16,84</t>
  </si>
  <si>
    <t>&lt;= -109,348</t>
  </si>
  <si>
    <t>&gt; 113,08</t>
  </si>
  <si>
    <t>&gt; 6,39 i &lt;= 113,08</t>
  </si>
  <si>
    <t>&gt; - 11,35 i &lt;= 6,39</t>
  </si>
  <si>
    <t>&lt;= - 11,35</t>
  </si>
  <si>
    <t>&gt; 18,1</t>
  </si>
  <si>
    <t>&gt; 8,46 i &lt;= 18,1</t>
  </si>
  <si>
    <t>&gt; - 4,02 i &lt;= 8,46</t>
  </si>
  <si>
    <t>&lt;= - 4,02</t>
  </si>
  <si>
    <t>&gt; 62,850</t>
  </si>
  <si>
    <t>&gt; 13,3 i &lt;= 62,850</t>
  </si>
  <si>
    <t>&gt; -0,3 i &lt;= 13,3</t>
  </si>
  <si>
    <t>&lt;= -0,3</t>
  </si>
  <si>
    <t>&gt; 18,8</t>
  </si>
  <si>
    <t>&gt; 2,4 i &lt;= 18,8</t>
  </si>
  <si>
    <t>&gt; - 7,1750 i &lt;= 2,4</t>
  </si>
  <si>
    <t>&lt;= -7,1750</t>
  </si>
  <si>
    <t>VIPNET usluge d.o.o.</t>
  </si>
  <si>
    <t>City EX, d.o.o.</t>
  </si>
  <si>
    <t>DHL International, d.o.o.</t>
  </si>
  <si>
    <t>H1 Telekom d.d.</t>
  </si>
  <si>
    <t>Metronet telekomunikacije d.d.</t>
  </si>
  <si>
    <t>Odašiljači i veze d.o.o.</t>
  </si>
  <si>
    <t>Nokia solutions and networks d.o.o.</t>
  </si>
  <si>
    <t>MM Agramservis d.o.o.</t>
  </si>
  <si>
    <t>ISKON INTERNET d.d.</t>
  </si>
  <si>
    <t>TELE2 d.o.o.</t>
  </si>
  <si>
    <t>VIPNET d.o.o.</t>
  </si>
  <si>
    <t>Hrvatski telekom d.d.</t>
  </si>
  <si>
    <t>PODACI ZA IZRAČUN ZA FK INDEKS; TELEKOMUNIKACIJE 2013.</t>
  </si>
  <si>
    <t>&gt; 25,6%</t>
  </si>
  <si>
    <t>&gt; 14,87% i &lt;= 25,6%</t>
  </si>
  <si>
    <t xml:space="preserve">Negativan trend </t>
  </si>
  <si>
    <t>&gt; 7,64% i &lt;= 14,87%</t>
  </si>
  <si>
    <t>&lt;= 7,64 %</t>
  </si>
  <si>
    <t>&gt; 1,1781898</t>
  </si>
  <si>
    <t>&gt; 1,0753367 i &lt;= 1,1781898</t>
  </si>
  <si>
    <t>&gt; 1,0167558 i &lt;= 1,10753367</t>
  </si>
  <si>
    <t>&lt;= 1,00167558</t>
  </si>
  <si>
    <t>&gt; 23,785</t>
  </si>
  <si>
    <t>&gt; 6,325 i &lt;= 23,785</t>
  </si>
  <si>
    <t>&gt; -72,635 i &lt;= 6,325</t>
  </si>
  <si>
    <t>&lt;= -72,635</t>
  </si>
  <si>
    <t>&gt; -10,92</t>
  </si>
  <si>
    <t>&gt; -47,85 i &lt;= -10,92</t>
  </si>
  <si>
    <t>&gt; - 70,99 i &lt;= -47,85</t>
  </si>
  <si>
    <t>&lt;= - 70,99</t>
  </si>
  <si>
    <t>&gt; 16,46</t>
  </si>
  <si>
    <t>&gt; 4,21 i &lt;= 16,46</t>
  </si>
  <si>
    <t>&gt; - 4,45 i &lt;= 4,21</t>
  </si>
  <si>
    <t>&lt;= - 4,45</t>
  </si>
  <si>
    <t>&gt; 2,4 i &lt;=18,8</t>
  </si>
  <si>
    <t>&gt; - 7,1750 i &lt;=2,4</t>
  </si>
  <si>
    <t>&lt;=-7,1750</t>
  </si>
  <si>
    <t>Bodovi</t>
  </si>
  <si>
    <t>Poredak</t>
  </si>
  <si>
    <t>Promjena vijednosti scoring modela u odnosu na 2012.</t>
  </si>
  <si>
    <t>MAXIMALAN MOGUĆI BROJ</t>
  </si>
  <si>
    <t>&gt; 52,1</t>
  </si>
  <si>
    <t>&gt; 31,18 i &lt;= 52,1</t>
  </si>
  <si>
    <t>&gt; 9,96 i &lt;= 31,18</t>
  </si>
  <si>
    <t>&lt;= 9,96</t>
  </si>
  <si>
    <t>&gt; 1,092917</t>
  </si>
  <si>
    <t>&gt; 1,072616 i &lt;= 1,092917</t>
  </si>
  <si>
    <t>&gt; 1,032553 i &lt;= 1,072616</t>
  </si>
  <si>
    <t>&lt;= 1,032553</t>
  </si>
  <si>
    <t>&gt; -10,59 i &lt;= 0,77</t>
  </si>
  <si>
    <t>&lt;= -10,59</t>
  </si>
  <si>
    <t>&gt; -8,43 i &lt;= 2,12</t>
  </si>
  <si>
    <t>&lt;= -8,43</t>
  </si>
  <si>
    <t>&gt;14,22</t>
  </si>
  <si>
    <t>&gt;5,46 i &lt;= 14,22</t>
  </si>
  <si>
    <t>&gt;-3,38 i &lt;= 5,46</t>
  </si>
  <si>
    <t>&lt;= -3,38</t>
  </si>
  <si>
    <t>&gt; 124,18</t>
  </si>
  <si>
    <t>&gt; 76,26 i &lt;= 124,18</t>
  </si>
  <si>
    <t>&gt; 40,68 i &lt;= 76,26</t>
  </si>
  <si>
    <t>&lt;= 40,68</t>
  </si>
  <si>
    <t>&gt; 85,12</t>
  </si>
  <si>
    <t>&gt; 29,93 i &lt;= 85,12</t>
  </si>
  <si>
    <t>&gt; - 17,46 i &lt;= 29,93</t>
  </si>
  <si>
    <t>&lt;= - 17,46</t>
  </si>
  <si>
    <t>&gt; 12,28</t>
  </si>
  <si>
    <t>&gt; 5,22 i &lt;= 12,28</t>
  </si>
  <si>
    <t>&gt; 1,1 i &lt;= 5,22</t>
  </si>
  <si>
    <t>&lt;= 1,1</t>
  </si>
  <si>
    <t>Končar-mes d.d.</t>
  </si>
  <si>
    <t>Solvis d.o.o.</t>
  </si>
  <si>
    <t>Pro-klima d.o.o.</t>
  </si>
  <si>
    <t>Ducati komponenti d.o.o.</t>
  </si>
  <si>
    <t>Excel Assemblies d.o.o.</t>
  </si>
  <si>
    <t>Končar- elektronika i informatika d.d.</t>
  </si>
  <si>
    <t>Klimaoprema d.d.</t>
  </si>
  <si>
    <t>Končar- Mjerni transformatori d.d.</t>
  </si>
  <si>
    <t>Emerson</t>
  </si>
  <si>
    <t>Končar-elektroindustrija d.d.</t>
  </si>
  <si>
    <t>Telegra d.o.o.</t>
  </si>
  <si>
    <t>Etradex d.o.o.</t>
  </si>
  <si>
    <t>Elektro- kontakt d.d.</t>
  </si>
  <si>
    <t>Eurocable group d.d.</t>
  </si>
  <si>
    <t>KONČAR D&amp;ST d.d.</t>
  </si>
  <si>
    <t>KONČAR ENERGETSKI TRANSFORMATRI d.o.o.</t>
  </si>
  <si>
    <t>Siemens d.d.</t>
  </si>
  <si>
    <t>PODACI ZA IZRAČUN ZA FK INDEKS; ELEKTRIČNI STROJEVI, APARATI I DIJELOVI 2013.</t>
  </si>
  <si>
    <t>&gt; 30,62</t>
  </si>
  <si>
    <t>&gt; 17,93 i &lt;= 30,62</t>
  </si>
  <si>
    <t>&gt; 8,51 i &lt;= 17,93</t>
  </si>
  <si>
    <t>&lt;= 8,51</t>
  </si>
  <si>
    <t>&gt; 1,110869</t>
  </si>
  <si>
    <t>&gt; 1,067782 i &lt;= 1,110869</t>
  </si>
  <si>
    <t>&gt; 1,022959 i &lt;= 1,067782</t>
  </si>
  <si>
    <t>&lt;= 1,022959</t>
  </si>
  <si>
    <t>&gt; 123,02</t>
  </si>
  <si>
    <t>&gt; 71,345 i &lt;= 123,02</t>
  </si>
  <si>
    <t>&gt; 16,0525 i &lt;= 71,345</t>
  </si>
  <si>
    <t>&lt;= 16,0525</t>
  </si>
  <si>
    <t>&gt; 83,1</t>
  </si>
  <si>
    <t>&gt; 36,41 i &lt;= 83,1</t>
  </si>
  <si>
    <t>&gt; 3,32 i &lt;= 36,41</t>
  </si>
  <si>
    <t>&lt;= 3,32</t>
  </si>
  <si>
    <t>&gt; 4,43</t>
  </si>
  <si>
    <t>&gt; 1,16 i &lt;= 4,43</t>
  </si>
  <si>
    <t>&gt; -2,45 i &lt;= 1,16</t>
  </si>
  <si>
    <t>&lt;= -2,45</t>
  </si>
  <si>
    <t>119.95</t>
  </si>
  <si>
    <t>PODACI ZA IZRAČUN ZA FK INDEKS; ELEKTRIČNI STROJEVI, APARATI I DIJELOVI 2012.</t>
  </si>
  <si>
    <t>Rang 2013</t>
  </si>
  <si>
    <t>Rang 2012</t>
  </si>
  <si>
    <t>KONČAR ENERGETSKI TRANSFORMATORI d.o.o.</t>
  </si>
  <si>
    <t>Lesnina H d.o.o.</t>
  </si>
  <si>
    <t>Muller trgovina Zagreb d.o.o</t>
  </si>
  <si>
    <t>Pevec d.d.</t>
  </si>
  <si>
    <t>KTC d.d.</t>
  </si>
  <si>
    <t>Studenac</t>
  </si>
  <si>
    <t>Billa d.o.o</t>
  </si>
  <si>
    <t>DM - Drogerie Markt d.o.o.</t>
  </si>
  <si>
    <t>Tommy d.o.o.</t>
  </si>
  <si>
    <t>Spar Hrvatska d.o.o</t>
  </si>
  <si>
    <t>Mercator-H d.o.o.</t>
  </si>
  <si>
    <t>Kaufland Hrvatska</t>
  </si>
  <si>
    <t>Lidl Hrvatska d.o.o.</t>
  </si>
  <si>
    <t>Tisak d.d.</t>
  </si>
  <si>
    <t>Plodine d.d.</t>
  </si>
  <si>
    <t>Konzum d.d.</t>
  </si>
  <si>
    <t>Odstupanja</t>
  </si>
  <si>
    <t>ROE 2</t>
  </si>
  <si>
    <t>ROE 
(poslovna.hr)</t>
  </si>
  <si>
    <t>&gt; 18,22%</t>
  </si>
  <si>
    <t>&gt; 8,20% i &lt;= 18,22%</t>
  </si>
  <si>
    <t>&gt; 0,94% i &lt;= 8,20%</t>
  </si>
  <si>
    <t>&lt;= 0,94%</t>
  </si>
  <si>
    <t>&gt; 1,0416</t>
  </si>
  <si>
    <t>&gt; 1,0220 i &lt;= 1,0416</t>
  </si>
  <si>
    <t>&gt; 1,0061 i &lt;= 1,0220</t>
  </si>
  <si>
    <t>&lt;= 1,0061</t>
  </si>
  <si>
    <t>&gt; 3,55</t>
  </si>
  <si>
    <t>&gt; 0,37 i &lt;= 3,55</t>
  </si>
  <si>
    <t>&gt; - 14,30 i &lt;= 0,37</t>
  </si>
  <si>
    <t>&lt;= - 14,30</t>
  </si>
  <si>
    <t>&gt; 5,77</t>
  </si>
  <si>
    <t>&gt; 1,03 i &lt;= 5,77</t>
  </si>
  <si>
    <t>&gt; - 10,86 i &lt;= 1,03</t>
  </si>
  <si>
    <t>&gt; 9,55</t>
  </si>
  <si>
    <t>&gt; 2,56 i &lt;= 9,55</t>
  </si>
  <si>
    <t>&gt; - 7,91 i &lt;= 2,56</t>
  </si>
  <si>
    <t>&lt;= - 7,91</t>
  </si>
  <si>
    <t>&gt; 21,385</t>
  </si>
  <si>
    <t>&gt; -7,44 i &lt;= 21,385</t>
  </si>
  <si>
    <t>&gt; -24,93 i &lt;= -7,44</t>
  </si>
  <si>
    <t>&lt;= -24,93</t>
  </si>
  <si>
    <t>&gt; 29,74%</t>
  </si>
  <si>
    <t>&gt; 0,91% i &lt;= 29,74%</t>
  </si>
  <si>
    <t>&gt; 12,74% i &lt;= 0,91%</t>
  </si>
  <si>
    <t>&lt;= -12,74%</t>
  </si>
  <si>
    <t>&gt; 7,17</t>
  </si>
  <si>
    <t>&gt; 4,41 i &lt;= 7,17</t>
  </si>
  <si>
    <t>&gt; 0,86 i &lt;= 4,41</t>
  </si>
  <si>
    <t>&lt;= 0,86</t>
  </si>
  <si>
    <t>&gt; 35</t>
  </si>
  <si>
    <t>&gt; 5,80 i &lt;= 35</t>
  </si>
  <si>
    <t>&gt; -0,50 i &lt;= 5,80</t>
  </si>
  <si>
    <t>&lt;= -0,50</t>
  </si>
  <si>
    <t>&gt; 5</t>
  </si>
  <si>
    <t>&gt; 0,50 i &lt;= 5</t>
  </si>
  <si>
    <t>&gt; - 7,30 i &lt;= 0,50</t>
  </si>
  <si>
    <t>&lt;= -7,30</t>
  </si>
  <si>
    <t>PODACI ZA IZRAČUN ZA FK INDEKS; TRGOVINA - MALOPRODAJA 2013.</t>
  </si>
  <si>
    <t>odstupanje</t>
  </si>
  <si>
    <t>ROE excel</t>
  </si>
  <si>
    <t>ROE 1</t>
  </si>
  <si>
    <t>&gt; 18,33%</t>
  </si>
  <si>
    <t>&gt; 6,94% i &lt;= 18,33%</t>
  </si>
  <si>
    <t>&gt; -0,29% i &lt;= 6,94%</t>
  </si>
  <si>
    <t>&lt;= -0,29%</t>
  </si>
  <si>
    <t>&gt; 1,0389</t>
  </si>
  <si>
    <t>&gt; 1,0136 i &lt;= 1,0389</t>
  </si>
  <si>
    <t>&gt; 0,9946 i &lt;= 1,0136</t>
  </si>
  <si>
    <t>&lt;= 0,9946</t>
  </si>
  <si>
    <t>&gt; 0,37 i &lt; 3,55</t>
  </si>
  <si>
    <t>&gt; - 14,30 i &lt; 0,37</t>
  </si>
  <si>
    <t>&lt; - 14,30</t>
  </si>
  <si>
    <t>&gt; 1,03 i &lt; 5,77</t>
  </si>
  <si>
    <t>&gt; - 10,86 i &lt; 1,03</t>
  </si>
  <si>
    <t>&lt; -10,86</t>
  </si>
  <si>
    <t>&gt; 2,56 i &lt; 9,55</t>
  </si>
  <si>
    <t>&gt; - 7,91 i &lt; 2,56</t>
  </si>
  <si>
    <t>&lt; - 7,91</t>
  </si>
  <si>
    <t>&gt; Q3</t>
  </si>
  <si>
    <t>&gt; Q2 i &lt;= Q3</t>
  </si>
  <si>
    <t>&gt; Q1 i &lt;= Q2</t>
  </si>
  <si>
    <t>&lt;= Q1</t>
  </si>
  <si>
    <t>&gt; 23,47%</t>
  </si>
  <si>
    <t>&gt; -20,83% i &lt;= 23,47%</t>
  </si>
  <si>
    <t>&gt; -35,20% i &lt;= -20,83%</t>
  </si>
  <si>
    <t>&lt;= -35,20%</t>
  </si>
  <si>
    <t>&gt; 8,91%</t>
  </si>
  <si>
    <t>&gt; 3,24% i &lt;= 8,91%</t>
  </si>
  <si>
    <t>&gt; 1,54% i &lt;= 3,24%</t>
  </si>
  <si>
    <t>&lt;= 1,54%</t>
  </si>
  <si>
    <t>PODACI ZA IZRAČUN ZA FK INDEKS; TRGOVINA - MALOPRODAJA 2012.</t>
  </si>
  <si>
    <t>MONTER-STROJARSKE MONTAŽE d.d.</t>
  </si>
  <si>
    <t>MUCIĆ&amp;CO d.o.o.</t>
  </si>
  <si>
    <t>ZAGREB-MONTAŽA d.o.o.</t>
  </si>
  <si>
    <t>ZAGREBGRADNJA d.o.o.</t>
  </si>
  <si>
    <t>KONSTRUKTOR INŽENJERING d.d.</t>
  </si>
  <si>
    <t>COLAS HRVATSKA d.d.</t>
  </si>
  <si>
    <t>INSTITUT IGH d.d.</t>
  </si>
  <si>
    <t>GIP PIONIR d.o.o.</t>
  </si>
  <si>
    <t>GRADNJA d.o.o.</t>
  </si>
  <si>
    <t>OSIJEK-KOTEKS d.d.</t>
  </si>
  <si>
    <t>OSTALIH 10 PODUZEĆA KOJA SAM MAKNUO IZ TABLICE</t>
  </si>
  <si>
    <t>&gt; 32,66%</t>
  </si>
  <si>
    <t>&gt; 26% i &lt;= 32,66%</t>
  </si>
  <si>
    <t>&gt; 4,82% i &lt;= 26%</t>
  </si>
  <si>
    <t>&lt;= 4,82%</t>
  </si>
  <si>
    <t>&gt;1,06213</t>
  </si>
  <si>
    <t>&gt; 1,00025 i &lt;= 1,06213</t>
  </si>
  <si>
    <t>&gt; 0,93115 i &lt;= 1,00025</t>
  </si>
  <si>
    <t>&lt; 0,93115</t>
  </si>
  <si>
    <t>&gt; 3,89</t>
  </si>
  <si>
    <t>&gt; 0,10 i &lt;= 3,89</t>
  </si>
  <si>
    <t>&gt; - 72,24 i &lt;= 0,10</t>
  </si>
  <si>
    <t>&lt;= - 72,24</t>
  </si>
  <si>
    <t>&gt; 7,33</t>
  </si>
  <si>
    <t>&gt; 0,92 i &lt;= 7,33</t>
  </si>
  <si>
    <t>&gt; - 29,52 i &lt;= 0,92</t>
  </si>
  <si>
    <t>&lt;= - 29,52</t>
  </si>
  <si>
    <t>&gt; 12,26</t>
  </si>
  <si>
    <t>&gt; 2,40 i &lt;= 12,26</t>
  </si>
  <si>
    <t>&gt; - 44,36 i &lt;= 2,40</t>
  </si>
  <si>
    <t>&lt;= - 44,36</t>
  </si>
  <si>
    <t>&gt; 73, 865</t>
  </si>
  <si>
    <t>&gt; 18,94 i &lt;= 73, 865</t>
  </si>
  <si>
    <t>&gt; -30,93 i &lt;= 18,94</t>
  </si>
  <si>
    <t>&lt;= -30,993</t>
  </si>
  <si>
    <t>&gt; 119,94%</t>
  </si>
  <si>
    <t>&gt; 35,65% i &lt;=119,94%</t>
  </si>
  <si>
    <t>&gt; 5,90% i &lt;= 35,65%</t>
  </si>
  <si>
    <t>&lt;= 5,90%</t>
  </si>
  <si>
    <t>&gt; 6,35%</t>
  </si>
  <si>
    <t>&gt; -3,80% i &lt;= 6,35%</t>
  </si>
  <si>
    <t>&gt; -16,20% i &lt;= -3,80%</t>
  </si>
  <si>
    <t>&lt;= -16,20%</t>
  </si>
  <si>
    <t>&gt; 38,60</t>
  </si>
  <si>
    <t>&gt; 6,2 i &lt;= 38,60</t>
  </si>
  <si>
    <t>&gt; -1,5 i &lt;= 6,2</t>
  </si>
  <si>
    <t>&lt;= -1,5</t>
  </si>
  <si>
    <t>&gt; 3,5</t>
  </si>
  <si>
    <t>&gt; 0 i &lt;= 3,5</t>
  </si>
  <si>
    <t>&gt; -7,6 i &lt;= 0</t>
  </si>
  <si>
    <t>&lt;= -7,6</t>
  </si>
  <si>
    <t>ZAGORJE-TEHNOBETON d.d.</t>
  </si>
  <si>
    <t>HIDROELEKTRA NISKOGRADNJA d.d.</t>
  </si>
  <si>
    <t>KAMGRAD d.o.o.</t>
  </si>
  <si>
    <t>SWIETELSKY BAUGESELLSCHAFT m.b.H.</t>
  </si>
  <si>
    <t>PRUŽNE GRAĐEVINE d.o.o.</t>
  </si>
  <si>
    <t>GP KRK d.d.</t>
  </si>
  <si>
    <t>STRABAG d.o.o.</t>
  </si>
  <si>
    <t>DALEKOVOD d.d.</t>
  </si>
  <si>
    <t>TEHNIKA d.d.</t>
  </si>
  <si>
    <t>VIADUKT d.d.</t>
  </si>
  <si>
    <t>UKUPNI BROJ BODOVA</t>
  </si>
  <si>
    <t>PODACI ZA IZRAČUN ZA FK INDEKS; GRAĐEVINARSTVO 2013.</t>
  </si>
  <si>
    <t>ING-GRAD d.o.o.</t>
  </si>
  <si>
    <t>&gt; 13,24%</t>
  </si>
  <si>
    <t>&gt; 6,98% i &lt;= 13,24%</t>
  </si>
  <si>
    <t>&gt; -4,50% i &lt;= 6,98%</t>
  </si>
  <si>
    <t>&lt;= -4,50%</t>
  </si>
  <si>
    <t>&gt; 1,016</t>
  </si>
  <si>
    <t>&gt; 0,9851 i &lt;= 1,016</t>
  </si>
  <si>
    <t>&gt; 0,9581 i &lt;= 0,9851</t>
  </si>
  <si>
    <t>&lt;= 0,9581</t>
  </si>
  <si>
    <t>&gt; 51,7</t>
  </si>
  <si>
    <t>&gt; 38,02 i &lt;= 51,7</t>
  </si>
  <si>
    <t>&gt; 2,24 i &lt;= 38,02</t>
  </si>
  <si>
    <t>&lt;= 2,24</t>
  </si>
  <si>
    <t>&gt; 64,78%</t>
  </si>
  <si>
    <t>&gt; 34,51% i &lt;= 64,78%</t>
  </si>
  <si>
    <t>&gt; -43,20% i &lt;= 34,51%</t>
  </si>
  <si>
    <t>&lt;= -43,20%</t>
  </si>
  <si>
    <t>&gt; -8,50</t>
  </si>
  <si>
    <t>&gt; -13,98% i &lt;= -8,50</t>
  </si>
  <si>
    <t>&gt; -20,11% i &lt;= -13,98%</t>
  </si>
  <si>
    <t>&lt;= -20,11%</t>
  </si>
  <si>
    <t>ukupni prihod</t>
  </si>
  <si>
    <t>PODACI ZA IZRAČUN ZA FK INDEKS; GRAĐEVINARSTVO 2012.</t>
  </si>
  <si>
    <t>Aposultna promjena</t>
  </si>
  <si>
    <t>ENIKON-COMPOSITE d.o.o.</t>
  </si>
  <si>
    <t xml:space="preserve">ABS SISAK d.o.o. </t>
  </si>
  <si>
    <t>KFK TEHNIKA d.o.o.</t>
  </si>
  <si>
    <t>LTH METALNI LIJEV d.o.o.</t>
  </si>
  <si>
    <t>METALSKA INDUSTRIJA VARAŽDIN d.d.</t>
  </si>
  <si>
    <t>CENTROMETAL d.o.o.</t>
  </si>
  <si>
    <t>PLAMEN d.o.o.</t>
  </si>
  <si>
    <t>KONČAR-METALNE KONSTRUKCIJE d.d.</t>
  </si>
  <si>
    <t>EKO MEĐIMURJE d.d.</t>
  </si>
  <si>
    <t>MONTING d.o.o.</t>
  </si>
  <si>
    <t>&gt; 30,20%</t>
  </si>
  <si>
    <t>&gt; 12,97% i &lt;= 30,20%</t>
  </si>
  <si>
    <t>&gt; -3,93% i &lt;=12,97%</t>
  </si>
  <si>
    <t>&lt;= -3,93%</t>
  </si>
  <si>
    <t>&gt; 1,128225</t>
  </si>
  <si>
    <t>&gt; 1,09125 i &lt;= 1,128225</t>
  </si>
  <si>
    <t>&gt; 0,90655 i &lt;= 1,09125</t>
  </si>
  <si>
    <t>&lt;= 0,90655</t>
  </si>
  <si>
    <t>&gt; -8,43 i &lt;=2,12</t>
  </si>
  <si>
    <t>&gt; -3,38 i &lt;= 5,46</t>
  </si>
  <si>
    <t>&gt; 66,87</t>
  </si>
  <si>
    <t>&gt; 37,37 i &lt;= 66,87</t>
  </si>
  <si>
    <t>&gt; 9,9275 i &lt;= 37,37</t>
  </si>
  <si>
    <t>&lt;= 9,9275</t>
  </si>
  <si>
    <t>&gt; 33,73%</t>
  </si>
  <si>
    <t>&gt; -28,80% i &lt;= 33,73</t>
  </si>
  <si>
    <t>&gt; -72,80% i &lt;= -28,80%</t>
  </si>
  <si>
    <t>&lt;= -72,80%</t>
  </si>
  <si>
    <t>&gt; 16,18%</t>
  </si>
  <si>
    <t>&gt; 12.09% i &lt;= 16,18%</t>
  </si>
  <si>
    <t>&gt; 6,96% i &lt;= 12,09%</t>
  </si>
  <si>
    <t>&lt;= 6,96%</t>
  </si>
  <si>
    <t>&gt; -4,80 i &lt;=1,10</t>
  </si>
  <si>
    <t>&lt;= -4,80</t>
  </si>
  <si>
    <t>DALEKOVOD PROIZVODNJA d.o.o.</t>
  </si>
  <si>
    <t>JEDINSTVO d.d.</t>
  </si>
  <si>
    <t>OMCO CROATIA d.o.o.</t>
  </si>
  <si>
    <t>DIV d.o.o.</t>
  </si>
  <si>
    <t>BILFINGER ĐURO ĐAKOVIĆ MONTAŽA d.d.</t>
  </si>
  <si>
    <t>ĐURO ĐAKOVIĆ TEP d.o.o.</t>
  </si>
  <si>
    <t>HS PRODUKT d.o.o.</t>
  </si>
  <si>
    <t>TLM-TPP d.o.o.</t>
  </si>
  <si>
    <t>PODACI ZA IZRAČUN ZA FK INDEKS; METALI 2013.</t>
  </si>
  <si>
    <t>TE-PRO d.o.o.</t>
  </si>
  <si>
    <t>NOVI FEROMONT d.o.o.</t>
  </si>
  <si>
    <t>OMIAL NOVI d.o.o.</t>
  </si>
  <si>
    <t>&gt; 28,90%</t>
  </si>
  <si>
    <t>&gt; 18,25% i &lt;= 28,90%</t>
  </si>
  <si>
    <t>&gt; 16,38% i &lt;= 18,25%</t>
  </si>
  <si>
    <t>&lt;= 16,38%</t>
  </si>
  <si>
    <t>&gt; 1,4407</t>
  </si>
  <si>
    <t>&gt; 1,2105 i &lt;= 1,4407</t>
  </si>
  <si>
    <t>&gt; 1,0849 i &lt;= 1,2105</t>
  </si>
  <si>
    <t>&lt;= 1,0849</t>
  </si>
  <si>
    <t>&gt; 117,83</t>
  </si>
  <si>
    <t>&gt;92,39 i &lt;= 117,83</t>
  </si>
  <si>
    <t>&gt; 51,95 i &lt;=92,39</t>
  </si>
  <si>
    <t>&lt;= 51,95</t>
  </si>
  <si>
    <t>&gt; 166,58%</t>
  </si>
  <si>
    <t>&gt; 69,65% I &lt;= 166,58%</t>
  </si>
  <si>
    <t>&gt; 33,75% I &lt;= 69,65%</t>
  </si>
  <si>
    <t>&lt;= 33,75%</t>
  </si>
  <si>
    <t>&gt; 23,58%</t>
  </si>
  <si>
    <t>&gt; 9,43% I &lt;= 23,58%</t>
  </si>
  <si>
    <t>&gt; 8,52% I &lt;= 9,43%</t>
  </si>
  <si>
    <t>&lt;= 8,52%</t>
  </si>
  <si>
    <t>ukupni prihodi</t>
  </si>
  <si>
    <t>UKUPAN BROJ BODOVA</t>
  </si>
  <si>
    <t>PODACI ZA IZRAČUN ZA FK INDEKS; METALI 2012.</t>
  </si>
  <si>
    <t>Promjena scora</t>
  </si>
  <si>
    <t>APSOLUTNA PROMJENA</t>
  </si>
  <si>
    <t>&gt; 9,31%</t>
  </si>
  <si>
    <t>&gt; 4,05% i &lt;= 9,31%</t>
  </si>
  <si>
    <t>&gt; 2,37% i &lt;= 4,05%</t>
  </si>
  <si>
    <t>&lt;= 2,37 %</t>
  </si>
  <si>
    <t>&gt; 1,01375</t>
  </si>
  <si>
    <t>&gt; 1,0055 i &lt;= 1,01375</t>
  </si>
  <si>
    <t>&gt; 0,97 i &lt;= 1,0055</t>
  </si>
  <si>
    <t>&lt;= 0,97</t>
  </si>
  <si>
    <t xml:space="preserve"> &gt; 183,97</t>
  </si>
  <si>
    <t>&gt; 135,93 i &lt;= 183,97</t>
  </si>
  <si>
    <t>&gt; 60,71 i &lt;= 135,93</t>
  </si>
  <si>
    <t>&lt;= 60,71</t>
  </si>
  <si>
    <t>&gt; 5,68%</t>
  </si>
  <si>
    <t>&gt; -8,25% i &lt;= 5,68%</t>
  </si>
  <si>
    <t>&gt; - 44,10% i &lt;= - 8,25%</t>
  </si>
  <si>
    <t>&lt;= - 44,10%</t>
  </si>
  <si>
    <t>&gt; -15,37%</t>
  </si>
  <si>
    <t>&gt; -25,57% i &lt;= -15,37%</t>
  </si>
  <si>
    <t>&gt; -62,13% i &lt;= -25,57%</t>
  </si>
  <si>
    <t>&lt;= -62,13%</t>
  </si>
  <si>
    <t>PETROKEMIJA d.d.</t>
  </si>
  <si>
    <t>WACHEM d.o.o.</t>
  </si>
  <si>
    <t>CHROMOS BOJE I LAKOVI d.d.</t>
  </si>
  <si>
    <t>SCOTT BADER d.o.o.</t>
  </si>
  <si>
    <t>IREKS AROMA d.o.o.</t>
  </si>
  <si>
    <t>SAPONIA d.d.</t>
  </si>
  <si>
    <t>ADRIATICA DUNAV d.o.o.</t>
  </si>
  <si>
    <t>LABUD d.o.o.</t>
  </si>
  <si>
    <t>CHROMOS AGRO d.d.</t>
  </si>
  <si>
    <t>HEMPEL d.o.o.</t>
  </si>
  <si>
    <t>7,01%</t>
  </si>
  <si>
    <t>CHROMOS SVJETLOST d.o.o.</t>
  </si>
  <si>
    <t>11,41%</t>
  </si>
  <si>
    <t>4,87%</t>
  </si>
  <si>
    <t>AGROCHEM-MAKS d.o.o.</t>
  </si>
  <si>
    <t>9,62%</t>
  </si>
  <si>
    <t xml:space="preserve"> </t>
  </si>
  <si>
    <t>RANG LISTA</t>
  </si>
  <si>
    <t xml:space="preserve">ROCE </t>
  </si>
  <si>
    <t xml:space="preserve">Ekonomičnost prodaje </t>
  </si>
  <si>
    <t xml:space="preserve">Neto profitna marža </t>
  </si>
  <si>
    <t xml:space="preserve">Operativna profitna marža/Operativna dobit </t>
  </si>
  <si>
    <t xml:space="preserve">Bruto profitna marža </t>
  </si>
  <si>
    <t xml:space="preserve">Novčani ciklus u danima </t>
  </si>
  <si>
    <t xml:space="preserve">Promjena profita u odnosu na prošlu godinu </t>
  </si>
  <si>
    <t xml:space="preserve">CAGR prihoda </t>
  </si>
  <si>
    <t xml:space="preserve">ROE </t>
  </si>
  <si>
    <t xml:space="preserve">ROA </t>
  </si>
  <si>
    <t>&gt; 7,68%</t>
  </si>
  <si>
    <t>&gt;5,185% i &lt;=7,68%</t>
  </si>
  <si>
    <t>&gt; 3,4375% i &lt;= 5,185%</t>
  </si>
  <si>
    <t>&lt;= 3,4375 %</t>
  </si>
  <si>
    <t>&gt; 1,1111</t>
  </si>
  <si>
    <t>&gt; 1,0352 i &lt;= 1,1111</t>
  </si>
  <si>
    <t>&gt; 1,0138 i &lt;= 1,0352</t>
  </si>
  <si>
    <t>&lt;= 1,0138</t>
  </si>
  <si>
    <t>&gt; 0,77i &lt;= 4,91</t>
  </si>
  <si>
    <t xml:space="preserve"> &gt; 163,64</t>
  </si>
  <si>
    <t>&gt; 130,68 i &lt;=163,64</t>
  </si>
  <si>
    <t>&gt; 39,24 i &lt;= 130,68</t>
  </si>
  <si>
    <t>&lt;= 39,24</t>
  </si>
  <si>
    <t>&gt; 106,29%</t>
  </si>
  <si>
    <t>&gt; 46,66% i &lt;= 106,29%</t>
  </si>
  <si>
    <t>&gt; - 12,80% i &lt;= 46,66%</t>
  </si>
  <si>
    <t>&lt;= - 12,80%</t>
  </si>
  <si>
    <t>&gt; 6,10%</t>
  </si>
  <si>
    <t>&gt; 0,84% i &lt;= 6,10%</t>
  </si>
  <si>
    <t>&gt; -1,08% i &lt;= 0,84%</t>
  </si>
  <si>
    <t>&lt;= -1,08%</t>
  </si>
  <si>
    <t>&gt; 34,20</t>
  </si>
  <si>
    <t>&gt; 6 i &lt;= 34,20</t>
  </si>
  <si>
    <t>&gt; 1,1 i &lt;= 6,2</t>
  </si>
  <si>
    <t>&gt; -4,8 i &lt;= 1,1</t>
  </si>
  <si>
    <t>n.p.</t>
  </si>
  <si>
    <t>14,33%</t>
  </si>
  <si>
    <t>UKUPNI BROJ BODODVA</t>
  </si>
  <si>
    <t>PODACI ZA IZRAČUN ZA FK INDEKS; KEMIJA 2012.</t>
  </si>
  <si>
    <t>&gt; 19,82%</t>
  </si>
  <si>
    <t>&gt; 10,45% i &lt;= 19,82%</t>
  </si>
  <si>
    <t>&gt; 4,87% i &lt;= 10,45%</t>
  </si>
  <si>
    <t>&lt;= 4,87 %</t>
  </si>
  <si>
    <t>&gt; 1,0325</t>
  </si>
  <si>
    <t>&gt; 1,01 i &lt;= 1,0325</t>
  </si>
  <si>
    <t>&gt; 0,98 i &lt;= 1,01</t>
  </si>
  <si>
    <t>&lt;= 0,98</t>
  </si>
  <si>
    <t>&lt;=  -8,43</t>
  </si>
  <si>
    <t xml:space="preserve"> &gt;  41,5</t>
  </si>
  <si>
    <t>&gt; 23,8 i &lt;= 41,5</t>
  </si>
  <si>
    <t>&gt;  - 0,1 i &lt;=  23,8</t>
  </si>
  <si>
    <t>&lt;=  - 0,1</t>
  </si>
  <si>
    <t>&gt;  24,00%</t>
  </si>
  <si>
    <t>&gt; -19,94% i &lt;= 24,00%</t>
  </si>
  <si>
    <t>&gt; - 48,57% i &lt;= - 19,94%</t>
  </si>
  <si>
    <t>&lt;= -48,57%</t>
  </si>
  <si>
    <t>&gt; 0,09%</t>
  </si>
  <si>
    <t>&gt; -0,26% i &lt;= 0,09%</t>
  </si>
  <si>
    <t>&gt; -0,87% i &lt;= -0,26%</t>
  </si>
  <si>
    <t>&lt;= -0,87%</t>
  </si>
  <si>
    <t>&gt; -4,80 i &lt;= 1,10</t>
  </si>
  <si>
    <t>INTERPETROL d.o.o.</t>
  </si>
  <si>
    <t>TIFON d.o.o.</t>
  </si>
  <si>
    <t>ENERGOSPEKTAR d.o.o.</t>
  </si>
  <si>
    <t>PETROL d.o.o.</t>
  </si>
  <si>
    <t>NAFTA CENTAR d.o.o.</t>
  </si>
  <si>
    <t>INA-OSIJEK PETROL d.d.</t>
  </si>
  <si>
    <t>MESSER CROATIA PLIN d.o.o.</t>
  </si>
  <si>
    <t>INAGIP d.o.o.</t>
  </si>
  <si>
    <t>LUKOIL CROATIA d.o.o.</t>
  </si>
  <si>
    <t>BUTAN PLIN d.o.o.</t>
  </si>
  <si>
    <t>CROSCO,NAFTNI SERVISI d.o.o.</t>
  </si>
  <si>
    <t>INA MAZIVA d.o.o.</t>
  </si>
  <si>
    <t>INA d.d.</t>
  </si>
  <si>
    <t>CRODUX PLIN d.o.o.</t>
  </si>
  <si>
    <t>ENI CROATIA d.o.o.</t>
  </si>
  <si>
    <t>34,7</t>
  </si>
  <si>
    <t>ENERGOINVEST-HRVATSKA d.o.o.</t>
  </si>
  <si>
    <t>BIODIZEL VUKOVAR d.o.o.</t>
  </si>
  <si>
    <t>CRODUX DERIVATI DVA d.o.o.</t>
  </si>
  <si>
    <t xml:space="preserve">AUTO-IVEC </t>
  </si>
  <si>
    <t>APIOS d.o.o.</t>
  </si>
  <si>
    <t xml:space="preserve">RANG </t>
  </si>
  <si>
    <t>PODACI ZA IZRAČUN ZA FK INDEKS; NAFTA I METALI 2013.</t>
  </si>
  <si>
    <t>&gt; 18,81%</t>
  </si>
  <si>
    <t>&gt; 11,50% i &lt;= 18,81%</t>
  </si>
  <si>
    <t>&gt; 1,47% i &lt;= 11,50%%</t>
  </si>
  <si>
    <t>&lt;= 1,47%</t>
  </si>
  <si>
    <t>&gt; 1,0320</t>
  </si>
  <si>
    <t>&gt; 1,005 i &lt;= 1,0320</t>
  </si>
  <si>
    <t>&gt; 0,98 i &lt;= 1,005</t>
  </si>
  <si>
    <t xml:space="preserve"> &gt; 56</t>
  </si>
  <si>
    <t>&gt; 21,22 i &lt;= 56</t>
  </si>
  <si>
    <t>&gt; -0,108125 i &lt;= 21,22</t>
  </si>
  <si>
    <t>&lt;= -0,108125</t>
  </si>
  <si>
    <t>&gt; 1,71%</t>
  </si>
  <si>
    <t>&gt; -43,01% i &lt;= 1,71%</t>
  </si>
  <si>
    <t>&gt; - 63,55% i &lt;= - 43,01%</t>
  </si>
  <si>
    <t>&lt;= - 63,55%</t>
  </si>
  <si>
    <t>&gt; 17,03%</t>
  </si>
  <si>
    <t>&gt; 7,99% i &lt;= 17,03%</t>
  </si>
  <si>
    <t>&gt; 3,58% i &lt;= 7,99%</t>
  </si>
  <si>
    <t>&lt;= 3,58%</t>
  </si>
  <si>
    <t>1,19%</t>
  </si>
  <si>
    <t>7,3%</t>
  </si>
  <si>
    <t>13,29%</t>
  </si>
  <si>
    <t>19,57%</t>
  </si>
  <si>
    <t>8,21%</t>
  </si>
  <si>
    <t>69,9</t>
  </si>
  <si>
    <t>64,60</t>
  </si>
  <si>
    <t>56,20</t>
  </si>
  <si>
    <t>6,20</t>
  </si>
  <si>
    <t>PODACI ZA IZRAČUN ZA FK INDEKS; NAFTA I METALI 2012.</t>
  </si>
  <si>
    <t>PROMJENA 2013/2012.</t>
  </si>
  <si>
    <t>Promjena Scora</t>
  </si>
  <si>
    <t>MAXIMALAN MOGUĆI BROJ BODOVA</t>
  </si>
  <si>
    <t>Trgovina 2013</t>
  </si>
  <si>
    <t>Apsolutna promjena</t>
  </si>
  <si>
    <t>Redni broj</t>
  </si>
  <si>
    <t>UKUPNI BROJ BODOVA 2012</t>
  </si>
  <si>
    <t>UKUPNI BROJ BODOVA 2013</t>
  </si>
  <si>
    <t>UKUPNI BROJ BODOVA 2012.</t>
  </si>
  <si>
    <t>UKUPNI BROJ BODOVA 2013.</t>
  </si>
  <si>
    <t>UKUPAN BROJ BODOVA 2012.</t>
  </si>
</sst>
</file>

<file path=xl/styles.xml><?xml version="1.0" encoding="utf-8"?>
<styleSheet xmlns="http://schemas.openxmlformats.org/spreadsheetml/2006/main">
  <numFmts count="7">
    <numFmt numFmtId="43" formatCode="_-* #,##0.00\ _k_n_-;\-* #,##0.00\ _k_n_-;_-* &quot;-&quot;??\ _k_n_-;_-@_-"/>
    <numFmt numFmtId="164" formatCode="0.0000"/>
    <numFmt numFmtId="165" formatCode="0.000"/>
    <numFmt numFmtId="166" formatCode="#,##0\ &quot;kn&quot;"/>
    <numFmt numFmtId="167" formatCode="0.0"/>
    <numFmt numFmtId="168" formatCode="#,##0.000"/>
    <numFmt numFmtId="169" formatCode="#,##0.0000"/>
  </numFmts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5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2"/>
      <color theme="5"/>
      <name val="Calibri"/>
      <family val="2"/>
      <charset val="238"/>
      <scheme val="minor"/>
    </font>
    <font>
      <b/>
      <sz val="12"/>
      <color theme="6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2"/>
      <color theme="6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charset val="238"/>
      <scheme val="minor"/>
    </font>
    <font>
      <sz val="12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rgb="FF000000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7"/>
      </right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double">
        <color theme="5"/>
      </right>
      <top/>
      <bottom style="double">
        <color theme="5"/>
      </bottom>
      <diagonal/>
    </border>
    <border>
      <left style="double">
        <color theme="5"/>
      </left>
      <right style="thin">
        <color auto="1"/>
      </right>
      <top style="thin">
        <color auto="1"/>
      </top>
      <bottom style="double">
        <color theme="5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double">
        <color theme="5"/>
      </right>
      <top/>
      <bottom/>
      <diagonal/>
    </border>
    <border>
      <left style="double">
        <color theme="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theme="5"/>
      </right>
      <top style="double">
        <color theme="5"/>
      </top>
      <bottom/>
      <diagonal/>
    </border>
    <border>
      <left style="double">
        <color theme="5"/>
      </left>
      <right style="thin">
        <color auto="1"/>
      </right>
      <top style="double">
        <color theme="5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</cellStyleXfs>
  <cellXfs count="561">
    <xf numFmtId="0" fontId="0" fillId="0" borderId="0" xfId="0"/>
    <xf numFmtId="2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2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3" fillId="0" borderId="0" xfId="0" applyNumberFormat="1" applyFont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164" fontId="0" fillId="0" borderId="0" xfId="0" applyNumberFormat="1"/>
    <xf numFmtId="10" fontId="0" fillId="0" borderId="0" xfId="0" applyNumberFormat="1"/>
    <xf numFmtId="0" fontId="0" fillId="0" borderId="0" xfId="0" applyNumberFormat="1" applyAlignment="1">
      <alignment horizontal="center"/>
    </xf>
    <xf numFmtId="10" fontId="0" fillId="0" borderId="0" xfId="0" applyNumberFormat="1" applyFont="1"/>
    <xf numFmtId="1" fontId="0" fillId="0" borderId="0" xfId="0" applyNumberFormat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/>
    <xf numFmtId="0" fontId="3" fillId="0" borderId="0" xfId="0" applyFont="1" applyAlignment="1"/>
    <xf numFmtId="0" fontId="0" fillId="0" borderId="0" xfId="0" applyAlignment="1"/>
    <xf numFmtId="0" fontId="0" fillId="3" borderId="0" xfId="0" applyFill="1"/>
    <xf numFmtId="0" fontId="0" fillId="2" borderId="0" xfId="0" applyFill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10" fontId="1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0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/>
    <xf numFmtId="10" fontId="0" fillId="0" borderId="0" xfId="2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0" fontId="0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0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2" borderId="0" xfId="0" applyFont="1" applyFill="1"/>
    <xf numFmtId="0" fontId="1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2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6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/>
    </xf>
    <xf numFmtId="10" fontId="0" fillId="0" borderId="3" xfId="0" applyNumberFormat="1" applyFont="1" applyBorder="1" applyAlignment="1">
      <alignment horizontal="center"/>
    </xf>
    <xf numFmtId="167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ont="1" applyFill="1" applyBorder="1"/>
    <xf numFmtId="2" fontId="0" fillId="0" borderId="5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10" fontId="0" fillId="0" borderId="1" xfId="0" applyNumberFormat="1" applyFont="1" applyBorder="1" applyAlignment="1">
      <alignment horizontal="center"/>
    </xf>
    <xf numFmtId="167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2" borderId="6" xfId="0" applyFont="1" applyFill="1" applyBorder="1"/>
    <xf numFmtId="0" fontId="0" fillId="0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Font="1" applyBorder="1"/>
    <xf numFmtId="165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2" fontId="0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0" fillId="2" borderId="14" xfId="0" applyFont="1" applyFill="1" applyBorder="1"/>
    <xf numFmtId="0" fontId="0" fillId="2" borderId="17" xfId="0" applyFont="1" applyFill="1" applyBorder="1"/>
    <xf numFmtId="0" fontId="3" fillId="0" borderId="19" xfId="0" applyFont="1" applyBorder="1" applyAlignment="1">
      <alignment horizontal="center"/>
    </xf>
    <xf numFmtId="0" fontId="0" fillId="2" borderId="22" xfId="0" applyFont="1" applyFill="1" applyBorder="1"/>
    <xf numFmtId="0" fontId="0" fillId="0" borderId="27" xfId="0" applyBorder="1"/>
    <xf numFmtId="0" fontId="3" fillId="0" borderId="19" xfId="0" applyFont="1" applyBorder="1" applyAlignment="1"/>
    <xf numFmtId="0" fontId="3" fillId="0" borderId="20" xfId="0" applyFont="1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15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8" xfId="0" applyBorder="1"/>
    <xf numFmtId="1" fontId="0" fillId="0" borderId="31" xfId="0" applyNumberFormat="1" applyBorder="1" applyAlignment="1">
      <alignment horizontal="center"/>
    </xf>
    <xf numFmtId="0" fontId="0" fillId="0" borderId="23" xfId="0" applyBorder="1"/>
    <xf numFmtId="0" fontId="3" fillId="0" borderId="32" xfId="0" applyFont="1" applyBorder="1" applyAlignment="1">
      <alignment horizontal="center"/>
    </xf>
    <xf numFmtId="0" fontId="0" fillId="0" borderId="20" xfId="0" applyBorder="1"/>
    <xf numFmtId="0" fontId="0" fillId="0" borderId="0" xfId="0" applyFill="1" applyBorder="1"/>
    <xf numFmtId="2" fontId="4" fillId="0" borderId="0" xfId="0" applyNumberFormat="1" applyFont="1"/>
    <xf numFmtId="0" fontId="4" fillId="0" borderId="0" xfId="0" applyFont="1"/>
    <xf numFmtId="10" fontId="0" fillId="0" borderId="0" xfId="2" applyNumberFormat="1" applyFont="1"/>
    <xf numFmtId="10" fontId="6" fillId="2" borderId="0" xfId="0" applyNumberFormat="1" applyFont="1" applyFill="1"/>
    <xf numFmtId="0" fontId="0" fillId="0" borderId="0" xfId="0" applyFill="1"/>
    <xf numFmtId="2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NumberFormat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167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2" borderId="4" xfId="0" applyFill="1" applyBorder="1"/>
    <xf numFmtId="2" fontId="0" fillId="0" borderId="5" xfId="0" applyNumberFormat="1" applyBorder="1" applyAlignment="1">
      <alignment horizontal="center" vertical="center"/>
    </xf>
    <xf numFmtId="10" fontId="0" fillId="0" borderId="1" xfId="2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2" borderId="6" xfId="0" applyFill="1" applyBorder="1"/>
    <xf numFmtId="165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3" xfId="0" applyNumberFormat="1" applyFont="1" applyBorder="1" applyAlignment="1">
      <alignment horizontal="center"/>
    </xf>
    <xf numFmtId="10" fontId="10" fillId="0" borderId="3" xfId="2" applyNumberFormat="1" applyFont="1" applyBorder="1" applyAlignment="1">
      <alignment horizontal="center"/>
    </xf>
    <xf numFmtId="167" fontId="10" fillId="0" borderId="3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165" fontId="10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0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3" xfId="2" applyNumberFormat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2" borderId="15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10" fontId="10" fillId="0" borderId="1" xfId="2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0" fontId="10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2" borderId="18" xfId="0" applyFont="1" applyFill="1" applyBorder="1"/>
    <xf numFmtId="2" fontId="10" fillId="0" borderId="1" xfId="0" applyNumberFormat="1" applyFont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2" fontId="0" fillId="0" borderId="31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4" xfId="0" applyNumberFormat="1" applyFont="1" applyBorder="1" applyAlignment="1">
      <alignment horizontal="center"/>
    </xf>
    <xf numFmtId="10" fontId="10" fillId="0" borderId="34" xfId="0" applyNumberFormat="1" applyFont="1" applyBorder="1" applyAlignment="1">
      <alignment horizontal="center"/>
    </xf>
    <xf numFmtId="167" fontId="10" fillId="0" borderId="34" xfId="0" applyNumberFormat="1" applyFont="1" applyBorder="1" applyAlignment="1">
      <alignment horizontal="center"/>
    </xf>
    <xf numFmtId="1" fontId="10" fillId="0" borderId="34" xfId="0" applyNumberFormat="1" applyFont="1" applyBorder="1" applyAlignment="1">
      <alignment horizontal="center"/>
    </xf>
    <xf numFmtId="2" fontId="10" fillId="0" borderId="34" xfId="0" applyNumberFormat="1" applyFont="1" applyBorder="1" applyAlignment="1">
      <alignment horizontal="center"/>
    </xf>
    <xf numFmtId="164" fontId="10" fillId="0" borderId="34" xfId="0" applyNumberFormat="1" applyFont="1" applyBorder="1" applyAlignment="1">
      <alignment horizontal="center"/>
    </xf>
    <xf numFmtId="0" fontId="0" fillId="0" borderId="34" xfId="0" applyBorder="1"/>
    <xf numFmtId="0" fontId="10" fillId="0" borderId="34" xfId="2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2" borderId="23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2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0" fillId="0" borderId="0" xfId="0" applyFont="1" applyFill="1" applyBorder="1"/>
    <xf numFmtId="2" fontId="0" fillId="0" borderId="0" xfId="0" applyNumberForma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/>
    </xf>
    <xf numFmtId="2" fontId="0" fillId="0" borderId="37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/>
    </xf>
    <xf numFmtId="2" fontId="0" fillId="0" borderId="39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10" fillId="2" borderId="41" xfId="0" applyFont="1" applyFill="1" applyBorder="1"/>
    <xf numFmtId="0" fontId="3" fillId="0" borderId="42" xfId="0" applyFont="1" applyBorder="1" applyAlignment="1"/>
    <xf numFmtId="0" fontId="3" fillId="0" borderId="43" xfId="0" applyFont="1" applyBorder="1" applyAlignment="1"/>
    <xf numFmtId="9" fontId="0" fillId="0" borderId="1" xfId="2" applyFont="1" applyBorder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9" fontId="0" fillId="0" borderId="1" xfId="2" applyFont="1" applyBorder="1"/>
    <xf numFmtId="0" fontId="0" fillId="5" borderId="1" xfId="0" applyFill="1" applyBorder="1"/>
    <xf numFmtId="4" fontId="0" fillId="5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43" fontId="0" fillId="0" borderId="1" xfId="1" applyFont="1" applyBorder="1" applyAlignment="1">
      <alignment horizontal="center"/>
    </xf>
    <xf numFmtId="0" fontId="0" fillId="0" borderId="0" xfId="0" applyBorder="1"/>
    <xf numFmtId="0" fontId="17" fillId="0" borderId="0" xfId="3"/>
    <xf numFmtId="0" fontId="18" fillId="0" borderId="0" xfId="3" applyFont="1" applyFill="1" applyAlignment="1">
      <alignment horizontal="center" vertical="center"/>
    </xf>
    <xf numFmtId="0" fontId="18" fillId="2" borderId="1" xfId="3" applyNumberFormat="1" applyFont="1" applyFill="1" applyBorder="1" applyAlignment="1">
      <alignment horizontal="center" vertical="center"/>
    </xf>
    <xf numFmtId="0" fontId="18" fillId="6" borderId="0" xfId="3" applyFont="1" applyFill="1" applyAlignment="1">
      <alignment horizontal="center" vertical="center"/>
    </xf>
    <xf numFmtId="10" fontId="19" fillId="0" borderId="0" xfId="3" applyNumberFormat="1" applyFont="1" applyAlignment="1">
      <alignment horizontal="center" vertical="center"/>
    </xf>
    <xf numFmtId="0" fontId="18" fillId="7" borderId="0" xfId="3" applyFont="1" applyFill="1" applyAlignment="1">
      <alignment horizontal="center" vertical="center"/>
    </xf>
    <xf numFmtId="10" fontId="18" fillId="0" borderId="0" xfId="3" applyNumberFormat="1" applyFont="1" applyFill="1" applyAlignment="1">
      <alignment horizontal="center" vertical="center"/>
    </xf>
    <xf numFmtId="10" fontId="18" fillId="0" borderId="0" xfId="3" applyNumberFormat="1" applyFont="1" applyFill="1" applyBorder="1" applyAlignment="1">
      <alignment horizontal="center" vertical="center"/>
    </xf>
    <xf numFmtId="10" fontId="20" fillId="0" borderId="0" xfId="3" applyNumberFormat="1" applyFont="1" applyAlignment="1">
      <alignment horizontal="center" vertical="center"/>
    </xf>
    <xf numFmtId="10" fontId="18" fillId="3" borderId="0" xfId="3" applyNumberFormat="1" applyFont="1" applyFill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0" fontId="18" fillId="5" borderId="0" xfId="3" applyFont="1" applyFill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17" fillId="0" borderId="0" xfId="3" applyAlignment="1">
      <alignment horizontal="center" vertical="center"/>
    </xf>
    <xf numFmtId="0" fontId="17" fillId="0" borderId="0" xfId="3" applyFill="1" applyAlignment="1">
      <alignment horizontal="center" vertical="center"/>
    </xf>
    <xf numFmtId="0" fontId="18" fillId="0" borderId="0" xfId="3" applyFont="1"/>
    <xf numFmtId="10" fontId="17" fillId="0" borderId="0" xfId="3" applyNumberFormat="1" applyFill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Fill="1" applyAlignment="1">
      <alignment horizontal="center" vertical="center"/>
    </xf>
    <xf numFmtId="2" fontId="3" fillId="0" borderId="0" xfId="3" applyNumberFormat="1" applyFont="1" applyAlignment="1">
      <alignment horizontal="center" vertical="center"/>
    </xf>
    <xf numFmtId="0" fontId="21" fillId="2" borderId="0" xfId="3" applyFont="1" applyFill="1" applyAlignment="1">
      <alignment horizontal="center" vertical="center" wrapText="1"/>
    </xf>
    <xf numFmtId="0" fontId="3" fillId="0" borderId="0" xfId="3" applyFont="1"/>
    <xf numFmtId="10" fontId="18" fillId="0" borderId="0" xfId="3" applyNumberFormat="1" applyFont="1"/>
    <xf numFmtId="0" fontId="21" fillId="2" borderId="0" xfId="3" applyFont="1" applyFill="1" applyAlignment="1">
      <alignment horizontal="center" vertical="center"/>
    </xf>
    <xf numFmtId="0" fontId="17" fillId="0" borderId="0" xfId="3" applyFill="1"/>
    <xf numFmtId="2" fontId="17" fillId="0" borderId="0" xfId="3" applyNumberFormat="1"/>
    <xf numFmtId="2" fontId="17" fillId="0" borderId="0" xfId="3" applyNumberFormat="1" applyFill="1" applyAlignment="1">
      <alignment horizontal="center" vertical="center"/>
    </xf>
    <xf numFmtId="2" fontId="17" fillId="0" borderId="0" xfId="3" applyNumberFormat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6" fillId="2" borderId="0" xfId="3" applyFont="1" applyFill="1"/>
    <xf numFmtId="0" fontId="6" fillId="2" borderId="0" xfId="3" applyFont="1" applyFill="1" applyAlignment="1">
      <alignment horizontal="center" vertical="center"/>
    </xf>
    <xf numFmtId="0" fontId="18" fillId="0" borderId="1" xfId="3" applyNumberFormat="1" applyFont="1" applyFill="1" applyBorder="1" applyAlignment="1">
      <alignment horizontal="center" vertical="center"/>
    </xf>
    <xf numFmtId="10" fontId="19" fillId="0" borderId="0" xfId="3" applyNumberFormat="1" applyFont="1" applyFill="1" applyAlignment="1">
      <alignment horizontal="center" vertical="center"/>
    </xf>
    <xf numFmtId="9" fontId="18" fillId="0" borderId="0" xfId="3" applyNumberFormat="1" applyFont="1" applyFill="1" applyAlignment="1">
      <alignment horizontal="center" vertical="center"/>
    </xf>
    <xf numFmtId="10" fontId="17" fillId="0" borderId="0" xfId="3" applyNumberFormat="1" applyFont="1" applyFill="1" applyBorder="1" applyAlignment="1">
      <alignment horizontal="center" vertical="center"/>
    </xf>
    <xf numFmtId="168" fontId="18" fillId="0" borderId="1" xfId="3" applyNumberFormat="1" applyFont="1" applyFill="1" applyBorder="1" applyAlignment="1">
      <alignment horizontal="center" vertical="center"/>
    </xf>
    <xf numFmtId="0" fontId="18" fillId="0" borderId="1" xfId="3" applyNumberFormat="1" applyFont="1" applyFill="1" applyBorder="1" applyAlignment="1">
      <alignment horizontal="center" vertical="center" wrapText="1"/>
    </xf>
    <xf numFmtId="0" fontId="18" fillId="0" borderId="0" xfId="3" applyFont="1" applyFill="1" applyAlignment="1">
      <alignment horizontal="center" vertical="center" wrapText="1"/>
    </xf>
    <xf numFmtId="2" fontId="18" fillId="0" borderId="0" xfId="3" applyNumberFormat="1" applyFont="1" applyFill="1" applyAlignment="1">
      <alignment horizontal="center" vertical="center" wrapText="1"/>
    </xf>
    <xf numFmtId="10" fontId="17" fillId="0" borderId="0" xfId="3" applyNumberFormat="1" applyAlignment="1">
      <alignment horizontal="center" vertical="center"/>
    </xf>
    <xf numFmtId="10" fontId="0" fillId="0" borderId="0" xfId="4" applyNumberFormat="1" applyFont="1" applyFill="1" applyBorder="1" applyAlignment="1">
      <alignment horizontal="center" vertical="center"/>
    </xf>
    <xf numFmtId="3" fontId="17" fillId="0" borderId="0" xfId="3" applyNumberFormat="1" applyAlignment="1">
      <alignment horizontal="center" vertical="center"/>
    </xf>
    <xf numFmtId="0" fontId="18" fillId="0" borderId="0" xfId="3" applyFont="1" applyFill="1" applyBorder="1" applyAlignment="1">
      <alignment horizontal="center" vertical="center"/>
    </xf>
    <xf numFmtId="0" fontId="17" fillId="0" borderId="0" xfId="3" applyFont="1" applyBorder="1" applyAlignment="1">
      <alignment horizontal="center" vertical="center"/>
    </xf>
    <xf numFmtId="10" fontId="17" fillId="0" borderId="0" xfId="3" applyNumberFormat="1" applyFont="1" applyBorder="1" applyAlignment="1">
      <alignment horizontal="center" vertical="center"/>
    </xf>
    <xf numFmtId="10" fontId="19" fillId="0" borderId="0" xfId="3" applyNumberFormat="1" applyFont="1" applyBorder="1" applyAlignment="1">
      <alignment horizontal="center" vertical="center"/>
    </xf>
    <xf numFmtId="3" fontId="17" fillId="0" borderId="0" xfId="3" applyNumberFormat="1" applyFont="1" applyBorder="1" applyAlignment="1">
      <alignment horizontal="center" vertical="center"/>
    </xf>
    <xf numFmtId="10" fontId="20" fillId="0" borderId="0" xfId="3" applyNumberFormat="1" applyFont="1" applyBorder="1" applyAlignment="1">
      <alignment horizontal="center" vertical="center"/>
    </xf>
    <xf numFmtId="0" fontId="17" fillId="0" borderId="0" xfId="3" applyFont="1" applyFill="1" applyBorder="1" applyAlignment="1">
      <alignment horizontal="center" vertical="center"/>
    </xf>
    <xf numFmtId="10" fontId="17" fillId="3" borderId="0" xfId="3" applyNumberFormat="1" applyFont="1" applyFill="1" applyBorder="1" applyAlignment="1">
      <alignment horizontal="center" vertical="center"/>
    </xf>
    <xf numFmtId="169" fontId="17" fillId="0" borderId="0" xfId="3" applyNumberFormat="1" applyFont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10" fontId="17" fillId="6" borderId="0" xfId="3" applyNumberFormat="1" applyFill="1" applyAlignment="1">
      <alignment horizontal="center" vertical="center"/>
    </xf>
    <xf numFmtId="0" fontId="5" fillId="2" borderId="0" xfId="3" applyFont="1" applyFill="1" applyAlignment="1">
      <alignment horizontal="center" vertical="center" wrapText="1"/>
    </xf>
    <xf numFmtId="0" fontId="17" fillId="6" borderId="0" xfId="3" applyFill="1" applyAlignment="1">
      <alignment horizontal="center" vertical="center"/>
    </xf>
    <xf numFmtId="10" fontId="20" fillId="0" borderId="0" xfId="3" applyNumberFormat="1" applyFont="1" applyFill="1" applyBorder="1" applyAlignment="1">
      <alignment horizontal="center" vertical="center"/>
    </xf>
    <xf numFmtId="0" fontId="17" fillId="0" borderId="0" xfId="3" applyFill="1" applyAlignment="1">
      <alignment horizontal="left"/>
    </xf>
    <xf numFmtId="3" fontId="18" fillId="0" borderId="0" xfId="3" applyNumberFormat="1" applyFont="1" applyFill="1" applyBorder="1" applyAlignment="1">
      <alignment horizontal="center" vertical="center"/>
    </xf>
    <xf numFmtId="0" fontId="18" fillId="0" borderId="0" xfId="3" applyNumberFormat="1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2" fontId="18" fillId="0" borderId="0" xfId="3" applyNumberFormat="1" applyFont="1" applyFill="1" applyBorder="1" applyAlignment="1">
      <alignment horizontal="center" vertical="center" wrapText="1"/>
    </xf>
    <xf numFmtId="0" fontId="18" fillId="2" borderId="1" xfId="3" applyNumberFormat="1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18" fillId="2" borderId="1" xfId="3" applyFont="1" applyFill="1" applyBorder="1" applyAlignment="1">
      <alignment horizontal="center" vertical="center"/>
    </xf>
    <xf numFmtId="0" fontId="18" fillId="0" borderId="0" xfId="3" applyNumberFormat="1" applyFont="1" applyFill="1" applyAlignment="1">
      <alignment horizontal="center" vertical="center"/>
    </xf>
    <xf numFmtId="0" fontId="18" fillId="0" borderId="0" xfId="3" applyFont="1" applyFill="1"/>
    <xf numFmtId="2" fontId="3" fillId="0" borderId="0" xfId="3" applyNumberFormat="1" applyFont="1" applyFill="1" applyAlignment="1">
      <alignment horizontal="center" vertical="center"/>
    </xf>
    <xf numFmtId="0" fontId="17" fillId="0" borderId="0" xfId="3" applyNumberFormat="1" applyFont="1" applyFill="1" applyBorder="1" applyAlignment="1">
      <alignment horizontal="center" vertical="center"/>
    </xf>
    <xf numFmtId="0" fontId="17" fillId="0" borderId="0" xfId="3" applyNumberFormat="1" applyFont="1" applyBorder="1" applyAlignment="1">
      <alignment horizontal="center" vertical="center"/>
    </xf>
    <xf numFmtId="0" fontId="18" fillId="2" borderId="1" xfId="3" applyFont="1" applyFill="1" applyBorder="1" applyAlignment="1">
      <alignment horizontal="center" vertical="center" wrapText="1"/>
    </xf>
    <xf numFmtId="0" fontId="17" fillId="0" borderId="45" xfId="3" applyBorder="1" applyAlignment="1">
      <alignment horizontal="center" vertical="center"/>
    </xf>
    <xf numFmtId="0" fontId="17" fillId="0" borderId="46" xfId="3" applyBorder="1" applyAlignment="1">
      <alignment horizontal="center" vertical="center"/>
    </xf>
    <xf numFmtId="10" fontId="0" fillId="0" borderId="47" xfId="4" applyNumberFormat="1" applyFont="1" applyBorder="1" applyAlignment="1">
      <alignment horizontal="center" vertical="center"/>
    </xf>
    <xf numFmtId="0" fontId="17" fillId="0" borderId="0" xfId="3" applyBorder="1" applyAlignment="1">
      <alignment horizontal="center" vertical="center"/>
    </xf>
    <xf numFmtId="0" fontId="3" fillId="0" borderId="48" xfId="3" applyFont="1" applyBorder="1" applyAlignment="1">
      <alignment horizontal="center" vertical="center"/>
    </xf>
    <xf numFmtId="0" fontId="3" fillId="0" borderId="49" xfId="3" applyFont="1" applyBorder="1" applyAlignment="1">
      <alignment horizontal="center" vertical="center"/>
    </xf>
    <xf numFmtId="0" fontId="17" fillId="0" borderId="47" xfId="3" applyBorder="1" applyAlignment="1">
      <alignment horizontal="center" vertical="center"/>
    </xf>
    <xf numFmtId="10" fontId="17" fillId="0" borderId="45" xfId="3" applyNumberFormat="1" applyBorder="1" applyAlignment="1">
      <alignment horizontal="center" vertical="center"/>
    </xf>
    <xf numFmtId="2" fontId="17" fillId="0" borderId="47" xfId="3" applyNumberFormat="1" applyBorder="1" applyAlignment="1">
      <alignment horizontal="center" vertical="center"/>
    </xf>
    <xf numFmtId="10" fontId="3" fillId="0" borderId="48" xfId="3" applyNumberFormat="1" applyFont="1" applyBorder="1" applyAlignment="1">
      <alignment horizontal="center" vertical="center"/>
    </xf>
    <xf numFmtId="0" fontId="17" fillId="0" borderId="50" xfId="3" applyBorder="1" applyAlignment="1">
      <alignment horizontal="center" vertical="center"/>
    </xf>
    <xf numFmtId="10" fontId="17" fillId="0" borderId="47" xfId="3" applyNumberFormat="1" applyBorder="1" applyAlignment="1">
      <alignment horizontal="center" vertical="center"/>
    </xf>
    <xf numFmtId="0" fontId="17" fillId="0" borderId="51" xfId="3" applyBorder="1" applyAlignment="1">
      <alignment horizontal="center" vertical="center"/>
    </xf>
    <xf numFmtId="10" fontId="17" fillId="0" borderId="48" xfId="3" applyNumberFormat="1" applyBorder="1" applyAlignment="1">
      <alignment horizontal="center" vertical="center"/>
    </xf>
    <xf numFmtId="0" fontId="3" fillId="0" borderId="52" xfId="3" applyFont="1" applyBorder="1" applyAlignment="1">
      <alignment horizontal="center" vertical="center"/>
    </xf>
    <xf numFmtId="0" fontId="17" fillId="0" borderId="48" xfId="3" applyBorder="1" applyAlignment="1">
      <alignment horizontal="center" vertical="center"/>
    </xf>
    <xf numFmtId="2" fontId="0" fillId="0" borderId="0" xfId="4" applyNumberFormat="1" applyFont="1"/>
    <xf numFmtId="0" fontId="17" fillId="0" borderId="53" xfId="3" applyFill="1" applyBorder="1"/>
    <xf numFmtId="0" fontId="17" fillId="0" borderId="54" xfId="3" applyFill="1" applyBorder="1"/>
    <xf numFmtId="0" fontId="17" fillId="8" borderId="1" xfId="3" applyFill="1" applyBorder="1"/>
    <xf numFmtId="164" fontId="17" fillId="0" borderId="55" xfId="3" applyNumberFormat="1" applyFill="1" applyBorder="1"/>
    <xf numFmtId="0" fontId="17" fillId="0" borderId="1" xfId="3" applyFill="1" applyBorder="1" applyAlignment="1">
      <alignment horizontal="center" vertical="center"/>
    </xf>
    <xf numFmtId="164" fontId="17" fillId="0" borderId="1" xfId="3" applyNumberFormat="1" applyFill="1" applyBorder="1" applyAlignment="1">
      <alignment horizontal="center" vertical="center"/>
    </xf>
    <xf numFmtId="10" fontId="0" fillId="0" borderId="0" xfId="4" applyNumberFormat="1" applyFont="1"/>
    <xf numFmtId="1" fontId="17" fillId="0" borderId="1" xfId="3" applyNumberFormat="1" applyFill="1" applyBorder="1" applyAlignment="1">
      <alignment horizontal="center" vertical="center"/>
    </xf>
    <xf numFmtId="164" fontId="18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ill="1" applyBorder="1" applyAlignment="1">
      <alignment horizontal="center" vertical="center"/>
    </xf>
    <xf numFmtId="2" fontId="17" fillId="0" borderId="1" xfId="3" applyNumberFormat="1" applyFill="1" applyBorder="1" applyAlignment="1">
      <alignment horizontal="center" vertical="center"/>
    </xf>
    <xf numFmtId="10" fontId="0" fillId="0" borderId="1" xfId="4" applyNumberFormat="1" applyFont="1" applyFill="1" applyBorder="1" applyAlignment="1">
      <alignment horizontal="center" vertical="center"/>
    </xf>
    <xf numFmtId="10" fontId="2" fillId="0" borderId="1" xfId="4" applyNumberFormat="1" applyFont="1" applyFill="1" applyBorder="1" applyAlignment="1">
      <alignment horizontal="center" vertical="center"/>
    </xf>
    <xf numFmtId="10" fontId="20" fillId="0" borderId="1" xfId="3" applyNumberFormat="1" applyFont="1" applyFill="1" applyBorder="1" applyAlignment="1">
      <alignment horizontal="center" vertical="center"/>
    </xf>
    <xf numFmtId="0" fontId="17" fillId="0" borderId="56" xfId="3" applyFill="1" applyBorder="1"/>
    <xf numFmtId="0" fontId="17" fillId="0" borderId="57" xfId="3" applyFill="1" applyBorder="1"/>
    <xf numFmtId="10" fontId="2" fillId="0" borderId="1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center" vertical="center"/>
    </xf>
    <xf numFmtId="10" fontId="18" fillId="0" borderId="1" xfId="3" applyNumberFormat="1" applyFont="1" applyFill="1" applyBorder="1" applyAlignment="1">
      <alignment horizontal="center" vertical="center"/>
    </xf>
    <xf numFmtId="10" fontId="17" fillId="0" borderId="1" xfId="3" applyNumberFormat="1" applyFont="1" applyFill="1" applyBorder="1" applyAlignment="1">
      <alignment horizontal="center" vertical="center"/>
    </xf>
    <xf numFmtId="2" fontId="18" fillId="0" borderId="1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/>
    </xf>
    <xf numFmtId="0" fontId="17" fillId="0" borderId="58" xfId="3" applyFill="1" applyBorder="1"/>
    <xf numFmtId="0" fontId="17" fillId="0" borderId="59" xfId="3" applyFill="1" applyBorder="1"/>
    <xf numFmtId="2" fontId="24" fillId="0" borderId="1" xfId="3" applyNumberFormat="1" applyFont="1" applyFill="1" applyBorder="1" applyAlignment="1">
      <alignment horizontal="center" vertical="center"/>
    </xf>
    <xf numFmtId="0" fontId="18" fillId="8" borderId="60" xfId="3" applyNumberFormat="1" applyFont="1" applyFill="1" applyBorder="1" applyAlignment="1">
      <alignment horizontal="center" vertical="center" wrapText="1"/>
    </xf>
    <xf numFmtId="0" fontId="18" fillId="8" borderId="1" xfId="3" applyFont="1" applyFill="1" applyBorder="1" applyAlignment="1">
      <alignment horizontal="center" vertical="center"/>
    </xf>
    <xf numFmtId="0" fontId="18" fillId="8" borderId="1" xfId="3" applyNumberFormat="1" applyFont="1" applyFill="1" applyBorder="1" applyAlignment="1">
      <alignment horizontal="center" vertical="center" wrapText="1"/>
    </xf>
    <xf numFmtId="0" fontId="18" fillId="8" borderId="1" xfId="3" applyFont="1" applyFill="1" applyBorder="1" applyAlignment="1">
      <alignment horizontal="center" vertical="center" wrapText="1"/>
    </xf>
    <xf numFmtId="164" fontId="17" fillId="0" borderId="47" xfId="3" applyNumberFormat="1" applyBorder="1" applyAlignment="1">
      <alignment horizontal="center" vertical="center"/>
    </xf>
    <xf numFmtId="164" fontId="17" fillId="0" borderId="0" xfId="3" applyNumberFormat="1" applyFill="1"/>
    <xf numFmtId="164" fontId="17" fillId="0" borderId="1" xfId="3" applyNumberFormat="1" applyFill="1" applyBorder="1" applyAlignment="1">
      <alignment horizontal="center"/>
    </xf>
    <xf numFmtId="1" fontId="17" fillId="0" borderId="1" xfId="3" applyNumberFormat="1" applyFill="1" applyBorder="1" applyAlignment="1">
      <alignment horizontal="center"/>
    </xf>
    <xf numFmtId="2" fontId="17" fillId="0" borderId="1" xfId="3" applyNumberFormat="1" applyFill="1" applyBorder="1" applyAlignment="1">
      <alignment horizontal="center"/>
    </xf>
    <xf numFmtId="10" fontId="17" fillId="0" borderId="1" xfId="3" applyNumberFormat="1" applyFill="1" applyBorder="1" applyAlignment="1">
      <alignment horizontal="center"/>
    </xf>
    <xf numFmtId="10" fontId="0" fillId="0" borderId="1" xfId="4" applyNumberFormat="1" applyFont="1" applyFill="1" applyBorder="1" applyAlignment="1">
      <alignment horizontal="center"/>
    </xf>
    <xf numFmtId="0" fontId="17" fillId="0" borderId="1" xfId="3" applyFill="1" applyBorder="1" applyAlignment="1">
      <alignment horizontal="center"/>
    </xf>
    <xf numFmtId="10" fontId="10" fillId="0" borderId="1" xfId="4" applyNumberFormat="1" applyFont="1" applyFill="1" applyBorder="1" applyAlignment="1">
      <alignment horizontal="center"/>
    </xf>
    <xf numFmtId="0" fontId="10" fillId="0" borderId="1" xfId="3" applyFont="1" applyFill="1" applyBorder="1" applyAlignment="1">
      <alignment horizontal="center"/>
    </xf>
    <xf numFmtId="164" fontId="25" fillId="0" borderId="1" xfId="3" applyNumberFormat="1" applyFont="1" applyFill="1" applyBorder="1" applyAlignment="1">
      <alignment horizontal="center"/>
    </xf>
    <xf numFmtId="10" fontId="10" fillId="0" borderId="1" xfId="3" applyNumberFormat="1" applyFont="1" applyFill="1" applyBorder="1" applyAlignment="1">
      <alignment horizontal="center"/>
    </xf>
    <xf numFmtId="0" fontId="17" fillId="0" borderId="0" xfId="3" applyFill="1" applyBorder="1"/>
    <xf numFmtId="0" fontId="17" fillId="3" borderId="0" xfId="3" applyFill="1"/>
    <xf numFmtId="0" fontId="17" fillId="0" borderId="61" xfId="3" applyBorder="1" applyAlignment="1">
      <alignment horizontal="center" vertical="center"/>
    </xf>
    <xf numFmtId="0" fontId="17" fillId="0" borderId="62" xfId="3" applyBorder="1" applyAlignment="1">
      <alignment horizontal="center" vertical="center"/>
    </xf>
    <xf numFmtId="0" fontId="17" fillId="0" borderId="63" xfId="3" applyBorder="1" applyAlignment="1">
      <alignment horizontal="center" vertical="center"/>
    </xf>
    <xf numFmtId="0" fontId="17" fillId="0" borderId="64" xfId="3" applyBorder="1" applyAlignment="1">
      <alignment horizontal="center" vertical="center"/>
    </xf>
    <xf numFmtId="0" fontId="17" fillId="0" borderId="65" xfId="3" applyBorder="1" applyAlignment="1">
      <alignment horizontal="center" vertical="center"/>
    </xf>
    <xf numFmtId="0" fontId="3" fillId="0" borderId="66" xfId="3" applyFont="1" applyBorder="1" applyAlignment="1">
      <alignment horizontal="center" vertical="center"/>
    </xf>
    <xf numFmtId="0" fontId="3" fillId="0" borderId="67" xfId="3" applyFont="1" applyBorder="1" applyAlignment="1">
      <alignment horizontal="center" vertical="center"/>
    </xf>
    <xf numFmtId="0" fontId="3" fillId="0" borderId="68" xfId="3" applyFont="1" applyBorder="1" applyAlignment="1">
      <alignment horizontal="center" vertical="center"/>
    </xf>
    <xf numFmtId="10" fontId="17" fillId="0" borderId="64" xfId="3" applyNumberFormat="1" applyBorder="1" applyAlignment="1">
      <alignment horizontal="center" vertical="center"/>
    </xf>
    <xf numFmtId="10" fontId="17" fillId="0" borderId="66" xfId="3" applyNumberFormat="1" applyBorder="1" applyAlignment="1">
      <alignment horizontal="center" vertical="center"/>
    </xf>
    <xf numFmtId="10" fontId="17" fillId="0" borderId="61" xfId="3" applyNumberFormat="1" applyBorder="1" applyAlignment="1">
      <alignment horizontal="center" vertical="center"/>
    </xf>
    <xf numFmtId="0" fontId="19" fillId="0" borderId="53" xfId="3" applyFont="1" applyFill="1" applyBorder="1"/>
    <xf numFmtId="0" fontId="12" fillId="0" borderId="54" xfId="3" applyFont="1" applyFill="1" applyBorder="1"/>
    <xf numFmtId="0" fontId="28" fillId="0" borderId="57" xfId="3" applyFont="1" applyFill="1" applyBorder="1"/>
    <xf numFmtId="0" fontId="12" fillId="0" borderId="57" xfId="3" applyFont="1" applyFill="1" applyBorder="1"/>
    <xf numFmtId="0" fontId="28" fillId="0" borderId="59" xfId="3" applyFont="1" applyFill="1" applyBorder="1"/>
    <xf numFmtId="0" fontId="18" fillId="9" borderId="60" xfId="3" applyFont="1" applyFill="1" applyBorder="1" applyAlignment="1">
      <alignment horizontal="center" vertical="center" wrapText="1"/>
    </xf>
    <xf numFmtId="0" fontId="18" fillId="9" borderId="1" xfId="3" applyFont="1" applyFill="1" applyBorder="1" applyAlignment="1">
      <alignment horizontal="center" vertical="center"/>
    </xf>
    <xf numFmtId="0" fontId="17" fillId="9" borderId="1" xfId="3" applyFill="1" applyBorder="1"/>
    <xf numFmtId="164" fontId="17" fillId="0" borderId="64" xfId="3" applyNumberFormat="1" applyBorder="1" applyAlignment="1">
      <alignment horizontal="center" vertical="center"/>
    </xf>
    <xf numFmtId="164" fontId="18" fillId="0" borderId="0" xfId="3" applyNumberFormat="1" applyFont="1" applyFill="1" applyBorder="1" applyAlignment="1">
      <alignment horizontal="center" vertical="center"/>
    </xf>
    <xf numFmtId="0" fontId="22" fillId="0" borderId="0" xfId="3" applyFont="1"/>
    <xf numFmtId="0" fontId="19" fillId="0" borderId="0" xfId="3" applyFont="1"/>
    <xf numFmtId="0" fontId="17" fillId="0" borderId="1" xfId="3" applyBorder="1" applyAlignment="1">
      <alignment horizontal="center"/>
    </xf>
    <xf numFmtId="0" fontId="19" fillId="0" borderId="1" xfId="3" applyFont="1" applyFill="1" applyBorder="1" applyAlignment="1">
      <alignment horizontal="center"/>
    </xf>
    <xf numFmtId="0" fontId="17" fillId="3" borderId="0" xfId="3" applyFill="1" applyBorder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3" borderId="1" xfId="3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 wrapText="1"/>
    </xf>
    <xf numFmtId="2" fontId="18" fillId="3" borderId="1" xfId="3" applyNumberFormat="1" applyFont="1" applyFill="1" applyBorder="1" applyAlignment="1">
      <alignment horizontal="center" vertical="center" wrapText="1"/>
    </xf>
    <xf numFmtId="0" fontId="17" fillId="3" borderId="1" xfId="3" applyFill="1" applyBorder="1"/>
    <xf numFmtId="0" fontId="31" fillId="0" borderId="1" xfId="3" applyFont="1" applyFill="1" applyBorder="1" applyAlignment="1">
      <alignment horizontal="center"/>
    </xf>
    <xf numFmtId="0" fontId="31" fillId="0" borderId="1" xfId="3" applyFont="1" applyFill="1" applyBorder="1" applyAlignment="1">
      <alignment horizontal="center" vertical="center"/>
    </xf>
    <xf numFmtId="10" fontId="32" fillId="0" borderId="1" xfId="4" applyNumberFormat="1" applyFont="1" applyFill="1" applyBorder="1" applyAlignment="1">
      <alignment horizontal="center"/>
    </xf>
    <xf numFmtId="2" fontId="31" fillId="0" borderId="1" xfId="3" applyNumberFormat="1" applyFont="1" applyFill="1" applyBorder="1" applyAlignment="1">
      <alignment horizontal="center"/>
    </xf>
    <xf numFmtId="164" fontId="31" fillId="0" borderId="1" xfId="3" applyNumberFormat="1" applyFont="1" applyFill="1" applyBorder="1" applyAlignment="1">
      <alignment horizontal="center"/>
    </xf>
    <xf numFmtId="10" fontId="31" fillId="0" borderId="1" xfId="3" applyNumberFormat="1" applyFont="1" applyFill="1" applyBorder="1" applyAlignment="1">
      <alignment horizontal="center"/>
    </xf>
    <xf numFmtId="1" fontId="31" fillId="0" borderId="1" xfId="3" applyNumberFormat="1" applyFont="1" applyFill="1" applyBorder="1" applyAlignment="1">
      <alignment horizontal="center"/>
    </xf>
    <xf numFmtId="10" fontId="31" fillId="0" borderId="1" xfId="4" applyNumberFormat="1" applyFont="1" applyFill="1" applyBorder="1" applyAlignment="1">
      <alignment horizontal="center"/>
    </xf>
    <xf numFmtId="0" fontId="32" fillId="0" borderId="1" xfId="3" applyFont="1" applyFill="1" applyBorder="1" applyAlignment="1">
      <alignment horizontal="center"/>
    </xf>
    <xf numFmtId="10" fontId="32" fillId="0" borderId="1" xfId="3" applyNumberFormat="1" applyFont="1" applyFill="1" applyBorder="1" applyAlignment="1">
      <alignment horizontal="center"/>
    </xf>
    <xf numFmtId="164" fontId="19" fillId="2" borderId="1" xfId="3" applyNumberFormat="1" applyFont="1" applyFill="1" applyBorder="1"/>
    <xf numFmtId="0" fontId="17" fillId="2" borderId="1" xfId="3" applyFill="1" applyBorder="1"/>
    <xf numFmtId="0" fontId="23" fillId="2" borderId="1" xfId="3" applyFont="1" applyFill="1" applyBorder="1" applyAlignment="1">
      <alignment horizontal="center" vertical="center"/>
    </xf>
    <xf numFmtId="165" fontId="17" fillId="3" borderId="1" xfId="3" applyNumberFormat="1" applyFill="1" applyBorder="1" applyAlignment="1">
      <alignment horizontal="center"/>
    </xf>
    <xf numFmtId="0" fontId="12" fillId="3" borderId="1" xfId="3" applyFont="1" applyFill="1" applyBorder="1"/>
    <xf numFmtId="0" fontId="28" fillId="3" borderId="1" xfId="3" applyFont="1" applyFill="1" applyBorder="1"/>
    <xf numFmtId="0" fontId="31" fillId="3" borderId="1" xfId="3" applyFont="1" applyFill="1" applyBorder="1" applyAlignment="1">
      <alignment horizontal="center" vertical="center"/>
    </xf>
    <xf numFmtId="10" fontId="31" fillId="0" borderId="1" xfId="3" applyNumberFormat="1" applyFont="1" applyFill="1" applyBorder="1" applyAlignment="1">
      <alignment horizontal="center" vertical="center"/>
    </xf>
    <xf numFmtId="2" fontId="31" fillId="0" borderId="1" xfId="3" applyNumberFormat="1" applyFont="1" applyFill="1" applyBorder="1" applyAlignment="1">
      <alignment horizontal="center" vertical="center"/>
    </xf>
    <xf numFmtId="2" fontId="31" fillId="3" borderId="1" xfId="3" applyNumberFormat="1" applyFont="1" applyFill="1" applyBorder="1" applyAlignment="1">
      <alignment horizontal="center" vertical="center"/>
    </xf>
    <xf numFmtId="10" fontId="31" fillId="3" borderId="1" xfId="3" applyNumberFormat="1" applyFont="1" applyFill="1" applyBorder="1" applyAlignment="1">
      <alignment horizontal="center" vertical="center"/>
    </xf>
    <xf numFmtId="1" fontId="31" fillId="0" borderId="1" xfId="3" applyNumberFormat="1" applyFont="1" applyFill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/>
    </xf>
    <xf numFmtId="0" fontId="32" fillId="3" borderId="1" xfId="3" applyFont="1" applyFill="1" applyBorder="1" applyAlignment="1">
      <alignment horizontal="center" vertical="center"/>
    </xf>
    <xf numFmtId="10" fontId="31" fillId="0" borderId="1" xfId="4" applyNumberFormat="1" applyFont="1" applyFill="1" applyBorder="1" applyAlignment="1">
      <alignment horizontal="center" vertical="center"/>
    </xf>
    <xf numFmtId="3" fontId="31" fillId="0" borderId="1" xfId="3" applyNumberFormat="1" applyFont="1" applyFill="1" applyBorder="1" applyAlignment="1">
      <alignment horizontal="center" vertical="center"/>
    </xf>
    <xf numFmtId="2" fontId="32" fillId="3" borderId="1" xfId="3" applyNumberFormat="1" applyFont="1" applyFill="1" applyBorder="1" applyAlignment="1">
      <alignment horizontal="center" vertical="center"/>
    </xf>
    <xf numFmtId="1" fontId="32" fillId="0" borderId="1" xfId="3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/>
    </xf>
    <xf numFmtId="10" fontId="32" fillId="0" borderId="1" xfId="3" applyNumberFormat="1" applyFont="1" applyFill="1" applyBorder="1" applyAlignment="1">
      <alignment horizontal="center" vertical="center"/>
    </xf>
    <xf numFmtId="10" fontId="32" fillId="3" borderId="1" xfId="3" applyNumberFormat="1" applyFont="1" applyFill="1" applyBorder="1" applyAlignment="1">
      <alignment horizontal="center" vertical="center"/>
    </xf>
    <xf numFmtId="2" fontId="17" fillId="2" borderId="0" xfId="3" applyNumberFormat="1" applyFill="1"/>
    <xf numFmtId="0" fontId="12" fillId="2" borderId="1" xfId="3" applyFont="1" applyFill="1" applyBorder="1"/>
    <xf numFmtId="0" fontId="28" fillId="2" borderId="1" xfId="3" applyFont="1" applyFill="1" applyBorder="1"/>
    <xf numFmtId="10" fontId="31" fillId="0" borderId="22" xfId="3" applyNumberFormat="1" applyFont="1" applyFill="1" applyBorder="1"/>
    <xf numFmtId="10" fontId="31" fillId="0" borderId="0" xfId="3" applyNumberFormat="1" applyFont="1"/>
    <xf numFmtId="164" fontId="31" fillId="0" borderId="1" xfId="3" applyNumberFormat="1" applyFont="1" applyFill="1" applyBorder="1" applyAlignment="1">
      <alignment horizontal="center" vertical="center"/>
    </xf>
    <xf numFmtId="164" fontId="31" fillId="0" borderId="1" xfId="3" applyNumberFormat="1" applyFont="1" applyFill="1" applyBorder="1"/>
    <xf numFmtId="2" fontId="32" fillId="0" borderId="1" xfId="3" applyNumberFormat="1" applyFont="1" applyFill="1" applyBorder="1" applyAlignment="1">
      <alignment horizontal="center" vertical="center"/>
    </xf>
    <xf numFmtId="164" fontId="31" fillId="3" borderId="1" xfId="3" applyNumberFormat="1" applyFont="1" applyFill="1" applyBorder="1" applyAlignment="1">
      <alignment horizontal="center" vertical="center"/>
    </xf>
    <xf numFmtId="164" fontId="31" fillId="0" borderId="44" xfId="3" applyNumberFormat="1" applyFont="1" applyFill="1" applyBorder="1" applyAlignment="1">
      <alignment horizontal="center" vertical="center"/>
    </xf>
    <xf numFmtId="2" fontId="19" fillId="2" borderId="0" xfId="3" applyNumberFormat="1" applyFont="1" applyFill="1"/>
    <xf numFmtId="0" fontId="23" fillId="10" borderId="1" xfId="3" applyFont="1" applyFill="1" applyBorder="1" applyAlignment="1">
      <alignment horizontal="center" vertical="center" wrapText="1"/>
    </xf>
    <xf numFmtId="0" fontId="23" fillId="10" borderId="17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2" fontId="0" fillId="0" borderId="0" xfId="0" applyNumberFormat="1" applyBorder="1"/>
    <xf numFmtId="0" fontId="3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6" xfId="0" applyBorder="1" applyAlignment="1">
      <alignment horizontal="center"/>
    </xf>
    <xf numFmtId="0" fontId="17" fillId="0" borderId="1" xfId="3" applyBorder="1" applyAlignment="1">
      <alignment horizontal="center" vertical="center" wrapText="1"/>
    </xf>
    <xf numFmtId="0" fontId="17" fillId="0" borderId="1" xfId="3" applyBorder="1" applyAlignment="1">
      <alignment horizontal="center" vertical="center"/>
    </xf>
    <xf numFmtId="0" fontId="20" fillId="0" borderId="1" xfId="3" applyFont="1" applyBorder="1" applyAlignment="1">
      <alignment horizontal="center" vertical="center"/>
    </xf>
    <xf numFmtId="2" fontId="17" fillId="0" borderId="1" xfId="3" applyNumberForma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27" fillId="0" borderId="1" xfId="3" applyFont="1" applyBorder="1" applyAlignment="1">
      <alignment horizontal="center" vertical="center"/>
    </xf>
    <xf numFmtId="0" fontId="29" fillId="0" borderId="1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/>
    </xf>
    <xf numFmtId="0" fontId="19" fillId="0" borderId="1" xfId="3" applyFont="1" applyFill="1" applyBorder="1" applyAlignment="1">
      <alignment horizontal="center" vertical="center"/>
    </xf>
    <xf numFmtId="0" fontId="22" fillId="0" borderId="1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3" fillId="0" borderId="0" xfId="3" applyFont="1" applyAlignment="1">
      <alignment horizontal="center"/>
    </xf>
    <xf numFmtId="0" fontId="22" fillId="0" borderId="0" xfId="3" applyFont="1" applyBorder="1" applyAlignment="1">
      <alignment horizontal="center" vertical="center"/>
    </xf>
    <xf numFmtId="0" fontId="14" fillId="0" borderId="0" xfId="3" applyFont="1" applyFill="1" applyAlignment="1">
      <alignment horizontal="center" vertical="center"/>
    </xf>
    <xf numFmtId="0" fontId="23" fillId="0" borderId="0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7" xfId="0" applyFill="1" applyBorder="1"/>
    <xf numFmtId="2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2" borderId="27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23" fillId="2" borderId="1" xfId="3" applyNumberFormat="1" applyFont="1" applyFill="1" applyBorder="1" applyAlignment="1">
      <alignment horizontal="center" vertical="center" wrapText="1"/>
    </xf>
    <xf numFmtId="0" fontId="28" fillId="2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3" applyFont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</cellXfs>
  <cellStyles count="5">
    <cellStyle name="Obično" xfId="0" builtinId="0"/>
    <cellStyle name="Obično 2" xfId="3"/>
    <cellStyle name="Postotak" xfId="2" builtinId="5"/>
    <cellStyle name="Postotak 2" xfId="4"/>
    <cellStyle name="Zarez" xfId="1" builtin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govina-Josip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GR, ROCE"/>
    </sheetNames>
    <sheetDataSet>
      <sheetData sheetId="0">
        <row r="3">
          <cell r="H3">
            <v>1.7820638557085378E-2</v>
          </cell>
          <cell r="I3">
            <v>1.3122666649011849E-2</v>
          </cell>
        </row>
        <row r="4">
          <cell r="H4">
            <v>6.878749634701542E-2</v>
          </cell>
          <cell r="I4">
            <v>5.4722549616849969E-2</v>
          </cell>
        </row>
        <row r="5">
          <cell r="H5">
            <v>4.1207774691164767E-2</v>
          </cell>
          <cell r="I5">
            <v>2.1236773019197575E-3</v>
          </cell>
        </row>
        <row r="6">
          <cell r="H6">
            <v>0.11177583489691756</v>
          </cell>
          <cell r="I6">
            <v>8.855288015053131E-2</v>
          </cell>
        </row>
        <row r="7">
          <cell r="H7">
            <v>5.6280842088031635E-2</v>
          </cell>
          <cell r="I7">
            <v>5.4894632897400264E-2</v>
          </cell>
        </row>
        <row r="8">
          <cell r="H8">
            <v>3.2404325651384402E-2</v>
          </cell>
          <cell r="I8">
            <v>-3.3406038082763434E-2</v>
          </cell>
        </row>
        <row r="9">
          <cell r="H9">
            <v>0.10937929443763283</v>
          </cell>
          <cell r="I9">
            <v>5.4387937652345064E-2</v>
          </cell>
        </row>
        <row r="10">
          <cell r="H10">
            <v>0.11595568598783523</v>
          </cell>
          <cell r="I10">
            <v>0.11035327112913595</v>
          </cell>
        </row>
        <row r="11">
          <cell r="H11">
            <v>1.3062804964702579E-2</v>
          </cell>
          <cell r="I11">
            <v>4.1382349489225145E-3</v>
          </cell>
        </row>
        <row r="12">
          <cell r="H12">
            <v>-1.6415529319092292E-2</v>
          </cell>
          <cell r="I12">
            <v>1.4579271790045478E-2</v>
          </cell>
        </row>
        <row r="13">
          <cell r="H13">
            <v>2.0718219082570988E-2</v>
          </cell>
          <cell r="I13">
            <v>4.4116224196789844E-2</v>
          </cell>
        </row>
        <row r="14">
          <cell r="H14">
            <v>-1.916179582153088E-2</v>
          </cell>
          <cell r="I14">
            <v>-4.7404797577474955E-3</v>
          </cell>
        </row>
        <row r="15">
          <cell r="H15">
            <v>-0.1015301218002298</v>
          </cell>
          <cell r="I15">
            <v>0.28070114288911219</v>
          </cell>
        </row>
        <row r="16">
          <cell r="H16">
            <v>0.36202438059025788</v>
          </cell>
          <cell r="I16">
            <v>0.22574491786929363</v>
          </cell>
        </row>
        <row r="17">
          <cell r="H17">
            <v>2.3839304058924871E-2</v>
          </cell>
          <cell r="I17">
            <v>1.7421307500629313E-2</v>
          </cell>
        </row>
        <row r="26">
          <cell r="C26">
            <v>345229000</v>
          </cell>
          <cell r="D26">
            <v>204681200</v>
          </cell>
          <cell r="E26">
            <v>170518300</v>
          </cell>
          <cell r="I26">
            <v>2554835400</v>
          </cell>
          <cell r="J26">
            <v>2719888100</v>
          </cell>
          <cell r="K26">
            <v>2846098300</v>
          </cell>
          <cell r="O26">
            <v>0.21919355644385705</v>
          </cell>
          <cell r="P26">
            <v>0.18234717225766131</v>
          </cell>
          <cell r="Q26">
            <v>0.16611353095917269</v>
          </cell>
        </row>
        <row r="27">
          <cell r="C27">
            <v>35033800</v>
          </cell>
          <cell r="D27">
            <v>39901700</v>
          </cell>
          <cell r="E27">
            <v>36394700</v>
          </cell>
          <cell r="I27">
            <v>334659200</v>
          </cell>
          <cell r="J27">
            <v>366607600</v>
          </cell>
          <cell r="K27">
            <v>382710000</v>
          </cell>
          <cell r="O27">
            <v>6.4590703926345736E-2</v>
          </cell>
          <cell r="P27">
            <v>7.4098503017896916E-2</v>
          </cell>
          <cell r="Q27">
            <v>7.428606951258028E-2</v>
          </cell>
        </row>
        <row r="28">
          <cell r="C28">
            <v>23832000</v>
          </cell>
          <cell r="D28">
            <v>18868600</v>
          </cell>
          <cell r="E28">
            <v>17834900</v>
          </cell>
          <cell r="I28">
            <v>415971000</v>
          </cell>
          <cell r="J28">
            <v>287632500</v>
          </cell>
          <cell r="K28">
            <v>244355800</v>
          </cell>
          <cell r="O28">
            <v>7.0481182333734321E-2</v>
          </cell>
          <cell r="P28">
            <v>0.14294093746344574</v>
          </cell>
          <cell r="Q28">
            <v>0.1409068425138503</v>
          </cell>
        </row>
        <row r="29">
          <cell r="C29">
            <v>-58467400</v>
          </cell>
          <cell r="D29">
            <v>-41439800</v>
          </cell>
          <cell r="E29">
            <v>36988600</v>
          </cell>
          <cell r="I29">
            <v>2207963500</v>
          </cell>
          <cell r="J29">
            <v>2365933200</v>
          </cell>
          <cell r="K29">
            <v>2397499100</v>
          </cell>
          <cell r="O29">
            <v>-1.5320016891613247E-2</v>
          </cell>
          <cell r="P29">
            <v>-6.56812127343842E-3</v>
          </cell>
          <cell r="Q29">
            <v>2.0355988978121842E-2</v>
          </cell>
        </row>
        <row r="30">
          <cell r="C30">
            <v>-48270700</v>
          </cell>
          <cell r="D30">
            <v>-24289100</v>
          </cell>
          <cell r="E30">
            <v>-28395400</v>
          </cell>
          <cell r="I30">
            <v>951858200</v>
          </cell>
          <cell r="J30">
            <v>980346100</v>
          </cell>
          <cell r="K30">
            <v>1082198900</v>
          </cell>
          <cell r="O30">
            <v>-7.2154582424782069E-3</v>
          </cell>
          <cell r="P30">
            <v>7.3648844841720559E-4</v>
          </cell>
          <cell r="Q30">
            <v>-1.5434371210992545E-3</v>
          </cell>
        </row>
        <row r="31">
          <cell r="C31">
            <v>-110737400</v>
          </cell>
          <cell r="D31">
            <v>-465435400</v>
          </cell>
          <cell r="E31">
            <v>-200699800</v>
          </cell>
          <cell r="I31">
            <v>1567521800</v>
          </cell>
          <cell r="J31">
            <v>1148540100</v>
          </cell>
          <cell r="K31">
            <v>842656600</v>
          </cell>
          <cell r="O31">
            <v>-1.4547972037169005E-2</v>
          </cell>
          <cell r="P31">
            <v>-0.21128642709758025</v>
          </cell>
          <cell r="Q31">
            <v>-9.3052050238625339E-2</v>
          </cell>
        </row>
        <row r="32">
          <cell r="C32">
            <v>-145011900</v>
          </cell>
          <cell r="D32">
            <v>-102480700</v>
          </cell>
          <cell r="E32">
            <v>-106063900</v>
          </cell>
          <cell r="I32">
            <v>84945300</v>
          </cell>
          <cell r="J32">
            <v>112464600</v>
          </cell>
          <cell r="K32">
            <v>116635400</v>
          </cell>
          <cell r="O32">
            <v>-3.5806963160074971E-2</v>
          </cell>
          <cell r="P32">
            <v>-0.12102664245880118</v>
          </cell>
          <cell r="Q32">
            <v>-0.13839672528231076</v>
          </cell>
        </row>
        <row r="33">
          <cell r="C33">
            <v>17714200</v>
          </cell>
          <cell r="D33">
            <v>25167300</v>
          </cell>
          <cell r="E33">
            <v>38528800</v>
          </cell>
          <cell r="I33">
            <v>33230700</v>
          </cell>
          <cell r="J33">
            <v>50430500</v>
          </cell>
          <cell r="K33">
            <v>89559300</v>
          </cell>
          <cell r="O33">
            <v>0.22166184431693942</v>
          </cell>
          <cell r="P33">
            <v>0.1843198030883193</v>
          </cell>
          <cell r="Q33">
            <v>0.19827914411701072</v>
          </cell>
        </row>
        <row r="34">
          <cell r="C34">
            <v>76789300</v>
          </cell>
          <cell r="D34">
            <v>102168900</v>
          </cell>
          <cell r="E34">
            <v>76569300</v>
          </cell>
          <cell r="I34">
            <v>180986500</v>
          </cell>
          <cell r="J34">
            <v>216930200</v>
          </cell>
          <cell r="K34">
            <v>152393100</v>
          </cell>
          <cell r="O34">
            <v>0.42428192157978634</v>
          </cell>
          <cell r="P34">
            <v>0.47097591759930152</v>
          </cell>
          <cell r="Q34">
            <v>0.50244597688478021</v>
          </cell>
        </row>
        <row r="35">
          <cell r="C35">
            <v>-60514600</v>
          </cell>
          <cell r="D35">
            <v>-106866500</v>
          </cell>
          <cell r="E35">
            <v>-97583400</v>
          </cell>
          <cell r="I35">
            <v>830400</v>
          </cell>
          <cell r="J35">
            <v>14014800</v>
          </cell>
          <cell r="K35">
            <v>61431400</v>
          </cell>
          <cell r="O35">
            <v>-1.1464353943657701</v>
          </cell>
          <cell r="P35">
            <v>-1.9646041942970822</v>
          </cell>
          <cell r="Q35">
            <v>-0.93744669807638348</v>
          </cell>
        </row>
        <row r="36">
          <cell r="C36">
            <v>43971100</v>
          </cell>
          <cell r="D36">
            <v>46624000</v>
          </cell>
          <cell r="E36">
            <v>47048300</v>
          </cell>
          <cell r="I36">
            <v>63676300</v>
          </cell>
          <cell r="J36">
            <v>55219500</v>
          </cell>
          <cell r="K36">
            <v>85267800</v>
          </cell>
          <cell r="O36">
            <v>0.23609716656977048</v>
          </cell>
          <cell r="P36">
            <v>0.31645497274463175</v>
          </cell>
          <cell r="Q36">
            <v>0.26909912809084885</v>
          </cell>
        </row>
        <row r="37">
          <cell r="C37">
            <v>18068500</v>
          </cell>
          <cell r="D37">
            <v>18673200</v>
          </cell>
          <cell r="E37">
            <v>19468800</v>
          </cell>
          <cell r="I37">
            <v>101436900</v>
          </cell>
          <cell r="J37">
            <v>90223900</v>
          </cell>
          <cell r="K37">
            <v>78374400</v>
          </cell>
          <cell r="O37">
            <v>7.3275610252724332E-2</v>
          </cell>
          <cell r="P37">
            <v>6.9430037651271329E-2</v>
          </cell>
          <cell r="Q37">
            <v>0.113639946220737</v>
          </cell>
        </row>
        <row r="38">
          <cell r="C38">
            <v>8493200</v>
          </cell>
          <cell r="D38">
            <v>5971400</v>
          </cell>
          <cell r="E38">
            <v>14975000</v>
          </cell>
          <cell r="I38">
            <v>-434387300</v>
          </cell>
          <cell r="J38">
            <v>194896500</v>
          </cell>
          <cell r="K38">
            <v>216261700</v>
          </cell>
          <cell r="O38">
            <v>-3.6193323331506239E-2</v>
          </cell>
          <cell r="P38">
            <v>3.4876973162678654E-2</v>
          </cell>
          <cell r="Q38">
            <v>8.2048555060836012E-2</v>
          </cell>
        </row>
        <row r="39">
          <cell r="C39">
            <v>-14709100</v>
          </cell>
          <cell r="D39">
            <v>6179600</v>
          </cell>
          <cell r="E39">
            <v>8810000</v>
          </cell>
          <cell r="I39">
            <v>-9417100</v>
          </cell>
          <cell r="J39">
            <v>-3602400</v>
          </cell>
          <cell r="K39">
            <v>4301400</v>
          </cell>
          <cell r="O39">
            <v>-0.19269443396734737</v>
          </cell>
          <cell r="P39">
            <v>0.28455152621575125</v>
          </cell>
          <cell r="Q39">
            <v>0.24969803201881988</v>
          </cell>
        </row>
        <row r="40">
          <cell r="C40">
            <v>30666700</v>
          </cell>
          <cell r="D40">
            <v>1005000</v>
          </cell>
          <cell r="E40">
            <v>19224300</v>
          </cell>
          <cell r="I40">
            <v>455204900</v>
          </cell>
          <cell r="J40">
            <v>509772200</v>
          </cell>
          <cell r="K40">
            <v>529123200</v>
          </cell>
          <cell r="O40">
            <v>6.0469094766311127E-2</v>
          </cell>
          <cell r="P40">
            <v>1.2015256027457909E-2</v>
          </cell>
          <cell r="Q40">
            <v>3.5679843689172076E-2</v>
          </cell>
        </row>
        <row r="45">
          <cell r="F45">
            <v>-0.40711469778031395</v>
          </cell>
          <cell r="G45">
            <v>-0.16690785475168213</v>
          </cell>
        </row>
        <row r="46">
          <cell r="F46">
            <v>0.13894867242491538</v>
          </cell>
          <cell r="G46">
            <v>-8.7890992113117988E-2</v>
          </cell>
        </row>
        <row r="47">
          <cell r="F47">
            <v>-0.2082695188422338</v>
          </cell>
          <cell r="G47">
            <v>-5.4784138727833546E-2</v>
          </cell>
        </row>
        <row r="48">
          <cell r="F48">
            <v>-0.29123237906936172</v>
          </cell>
          <cell r="G48">
            <v>-1.892586354181246</v>
          </cell>
        </row>
        <row r="49">
          <cell r="F49">
            <v>-0.4968148379866047</v>
          </cell>
          <cell r="G49">
            <v>0.16905937231103663</v>
          </cell>
        </row>
        <row r="50">
          <cell r="F50">
            <v>3.2030551557107176</v>
          </cell>
          <cell r="G50">
            <v>-0.56879128661034373</v>
          </cell>
        </row>
        <row r="51">
          <cell r="F51">
            <v>-0.29329455030931945</v>
          </cell>
          <cell r="G51">
            <v>3.4964632364923344E-2</v>
          </cell>
        </row>
        <row r="52">
          <cell r="F52">
            <v>0.42074155197525148</v>
          </cell>
          <cell r="G52">
            <v>0.53090716922355596</v>
          </cell>
        </row>
        <row r="53">
          <cell r="F53">
            <v>0.33050958922662405</v>
          </cell>
          <cell r="G53">
            <v>-0.25056157010597158</v>
          </cell>
        </row>
        <row r="54">
          <cell r="F54">
            <v>0.76596226365207731</v>
          </cell>
          <cell r="G54">
            <v>-8.686632387137222E-2</v>
          </cell>
        </row>
        <row r="55">
          <cell r="F55">
            <v>6.0332809504424496E-2</v>
          </cell>
          <cell r="G55">
            <v>9.1004632807137956E-3</v>
          </cell>
        </row>
        <row r="56">
          <cell r="F56">
            <v>3.3467083598527826E-2</v>
          </cell>
          <cell r="G56">
            <v>4.2606516290726815E-2</v>
          </cell>
        </row>
        <row r="57">
          <cell r="F57">
            <v>-0.29691988885225828</v>
          </cell>
          <cell r="G57">
            <v>1.5077871185986536</v>
          </cell>
        </row>
        <row r="58">
          <cell r="F58">
            <v>-1.4201208775519916</v>
          </cell>
          <cell r="G58">
            <v>0.42565861868082078</v>
          </cell>
        </row>
        <row r="59">
          <cell r="F59">
            <v>-0.96722829649098208</v>
          </cell>
          <cell r="G59">
            <v>18.128656716417911</v>
          </cell>
        </row>
        <row r="66">
          <cell r="I66">
            <v>1.0555575864489493</v>
          </cell>
          <cell r="J66">
            <v>1.0448072720783992</v>
          </cell>
          <cell r="K66">
            <v>1.0454588270689635</v>
          </cell>
        </row>
        <row r="67">
          <cell r="I67">
            <v>1.0569807403532536</v>
          </cell>
          <cell r="J67">
            <v>1.0548892579780842</v>
          </cell>
          <cell r="K67">
            <v>1.0517699606675408</v>
          </cell>
        </row>
        <row r="68">
          <cell r="I68">
            <v>1.0089748709842825</v>
          </cell>
          <cell r="J68">
            <v>1.0135962230424607</v>
          </cell>
          <cell r="K68">
            <v>1.0119315259577866</v>
          </cell>
        </row>
        <row r="69">
          <cell r="I69">
            <v>0.98413959610937329</v>
          </cell>
          <cell r="J69">
            <v>0.98997783885179169</v>
          </cell>
          <cell r="K69">
            <v>1.0178357126981532</v>
          </cell>
        </row>
        <row r="70">
          <cell r="I70">
            <v>0.99672751798837456</v>
          </cell>
          <cell r="J70">
            <v>0.99920072856376252</v>
          </cell>
          <cell r="K70">
            <v>1.0001858419296263</v>
          </cell>
        </row>
        <row r="71">
          <cell r="I71">
            <v>0.99407562999786492</v>
          </cell>
          <cell r="J71">
            <v>0.86089655621925698</v>
          </cell>
          <cell r="K71">
            <v>0.94939233152379088</v>
          </cell>
        </row>
        <row r="72">
          <cell r="I72">
            <v>0.94449250668649587</v>
          </cell>
          <cell r="J72">
            <v>0.96063337283565542</v>
          </cell>
          <cell r="K72">
            <v>0.95959652524484051</v>
          </cell>
        </row>
        <row r="73">
          <cell r="I73">
            <v>1.0227225387657761</v>
          </cell>
          <cell r="J73">
            <v>1.0179889380939693</v>
          </cell>
          <cell r="K73">
            <v>1.0281751025596084</v>
          </cell>
        </row>
        <row r="74">
          <cell r="I74">
            <v>1.0645476087093353</v>
          </cell>
          <cell r="J74">
            <v>1.0829782029405881</v>
          </cell>
          <cell r="K74">
            <v>1.0636965153171887</v>
          </cell>
        </row>
        <row r="75">
          <cell r="I75">
            <v>0.92091076390942395</v>
          </cell>
          <cell r="J75">
            <v>0.89268316410657278</v>
          </cell>
          <cell r="K75">
            <v>0.94422006384133328</v>
          </cell>
        </row>
        <row r="76">
          <cell r="I76">
            <v>1.0530261769189675</v>
          </cell>
          <cell r="J76">
            <v>1.0500504003142301</v>
          </cell>
          <cell r="K76">
            <v>1.0483268027078165</v>
          </cell>
        </row>
        <row r="77">
          <cell r="I77">
            <v>1.036988314285773</v>
          </cell>
          <cell r="J77">
            <v>1.0329199741836479</v>
          </cell>
          <cell r="K77">
            <v>1.0378256912205359</v>
          </cell>
        </row>
        <row r="78">
          <cell r="I78">
            <v>1.0304730622133182</v>
          </cell>
          <cell r="J78">
            <v>1.0090396700673847</v>
          </cell>
          <cell r="K78">
            <v>1.015552188262677</v>
          </cell>
        </row>
        <row r="79">
          <cell r="I79">
            <v>0.98416700525370759</v>
          </cell>
          <cell r="J79">
            <v>1.0191955420997825</v>
          </cell>
          <cell r="K79">
            <v>1.0220158324041726</v>
          </cell>
        </row>
        <row r="80">
          <cell r="I80">
            <v>1.0476489691265876</v>
          </cell>
          <cell r="J80">
            <v>0.99919268358473767</v>
          </cell>
          <cell r="K80">
            <v>1.0277855581553259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79"/>
  <sheetViews>
    <sheetView zoomScale="90" zoomScaleNormal="90" workbookViewId="0">
      <selection activeCell="A11" sqref="A11"/>
    </sheetView>
  </sheetViews>
  <sheetFormatPr defaultRowHeight="15"/>
  <cols>
    <col min="1" max="1" width="25.85546875" customWidth="1"/>
    <col min="4" max="4" width="15" customWidth="1"/>
    <col min="5" max="5" width="10.5703125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7.42578125" bestFit="1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8.140625" bestFit="1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14062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9">
      <c r="A1" s="503" t="s">
        <v>98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9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9" ht="45" customHeight="1">
      <c r="A3" s="5" t="s">
        <v>97</v>
      </c>
      <c r="B3" s="5" t="s">
        <v>96</v>
      </c>
      <c r="C3" s="24" t="s">
        <v>93</v>
      </c>
      <c r="D3" s="24" t="s">
        <v>95</v>
      </c>
      <c r="E3" s="24" t="s">
        <v>93</v>
      </c>
      <c r="F3" s="5" t="s">
        <v>94</v>
      </c>
      <c r="G3" s="24" t="s">
        <v>83</v>
      </c>
      <c r="H3" s="24" t="s">
        <v>84</v>
      </c>
      <c r="I3" s="24" t="s">
        <v>93</v>
      </c>
      <c r="J3" s="5" t="s">
        <v>92</v>
      </c>
      <c r="K3" s="24" t="s">
        <v>83</v>
      </c>
      <c r="L3" s="25" t="s">
        <v>91</v>
      </c>
      <c r="M3" s="24" t="s">
        <v>83</v>
      </c>
      <c r="N3" s="24" t="s">
        <v>90</v>
      </c>
      <c r="O3" s="24" t="s">
        <v>83</v>
      </c>
      <c r="P3" s="24" t="s">
        <v>84</v>
      </c>
      <c r="Q3" s="24" t="s">
        <v>83</v>
      </c>
      <c r="R3" s="24" t="s">
        <v>89</v>
      </c>
      <c r="S3" s="24" t="s">
        <v>83</v>
      </c>
      <c r="T3" s="24" t="s">
        <v>84</v>
      </c>
      <c r="U3" s="24" t="s">
        <v>83</v>
      </c>
      <c r="V3" s="24" t="s">
        <v>88</v>
      </c>
      <c r="W3" s="24" t="s">
        <v>83</v>
      </c>
      <c r="X3" s="24" t="s">
        <v>84</v>
      </c>
      <c r="Y3" s="24" t="s">
        <v>83</v>
      </c>
      <c r="Z3" s="24" t="s">
        <v>87</v>
      </c>
      <c r="AA3" s="24" t="s">
        <v>83</v>
      </c>
      <c r="AB3" s="24" t="s">
        <v>84</v>
      </c>
      <c r="AC3" s="24" t="s">
        <v>83</v>
      </c>
      <c r="AD3" s="24" t="s">
        <v>86</v>
      </c>
      <c r="AE3" s="24" t="s">
        <v>83</v>
      </c>
      <c r="AF3" s="24" t="s">
        <v>84</v>
      </c>
      <c r="AG3" s="24" t="s">
        <v>83</v>
      </c>
      <c r="AH3" s="24" t="s">
        <v>85</v>
      </c>
      <c r="AI3" s="24" t="s">
        <v>83</v>
      </c>
      <c r="AJ3" s="24" t="s">
        <v>84</v>
      </c>
      <c r="AK3" s="24" t="s">
        <v>83</v>
      </c>
      <c r="AL3" s="24" t="s">
        <v>82</v>
      </c>
      <c r="AM3" s="24" t="s">
        <v>81</v>
      </c>
    </row>
    <row r="4" spans="1:39">
      <c r="A4" s="23" t="s">
        <v>80</v>
      </c>
      <c r="B4" s="14">
        <v>5.9</v>
      </c>
      <c r="C4" s="14" t="str">
        <f t="shared" ref="C4:C13" si="0">IF(B4&gt;20.2,"13,5",IF(B4&lt;=-4,"3,375",IF(AND(B4&gt;-4,B4&lt;=3),"6,75","10,125")))</f>
        <v>10,125</v>
      </c>
      <c r="D4" s="3">
        <v>0</v>
      </c>
      <c r="E4" s="3" t="str">
        <f t="shared" ref="E4:E13" si="1">IF(D4=0,"0","1,5")</f>
        <v>0</v>
      </c>
      <c r="F4" s="14">
        <v>6.2</v>
      </c>
      <c r="G4" s="14" t="str">
        <f t="shared" ref="G4:G13" si="2">IF(F4&gt;59.4,"13,5",IF(F4&lt;=0,"3,375",IF(AND(F4&gt;0,F4&lt;=13.3),"6,75","10,125")))</f>
        <v>6,75</v>
      </c>
      <c r="H4" s="3">
        <v>0</v>
      </c>
      <c r="I4" s="3" t="str">
        <f t="shared" ref="I4:I13" si="3">IF(H4=0,"0","1,5")</f>
        <v>0</v>
      </c>
      <c r="J4" s="12">
        <v>-6.8500000000000005E-2</v>
      </c>
      <c r="K4" s="20">
        <f t="shared" ref="K4:K13" si="4">IF(J4&gt;QUARTILE($J$4:$J$13,3),$B$35,IF(AND(J4&lt;=QUARTILE($J$4:$J$13,3),J4&gt;QUARTILE($J$4:$J$13,2)),$B$34,IF(AND(J4&lt;=QUARTILE($J$4:$J$13,2),J4&gt;QUARTILE($J$4:$J$13,1)),$B$33,$B$32)))</f>
        <v>1.25</v>
      </c>
      <c r="L4" s="12">
        <v>-0.12920000000000001</v>
      </c>
      <c r="M4" s="20">
        <f t="shared" ref="M4:M13" si="5">IF(L4&gt;QUARTILE($L$4:$L$13,3),$B$41,IF(AND(L4&lt;=QUARTILE($L$4:$L$13,3),L4&gt;QUARTILE($L$4:$L$13,2)),$B$40,IF(AND(L4&lt;=QUARTILE($L$4:$L$14,2),L4&gt;QUARTILE($L$4:$L$13,1)),$B$39,$B$38)))</f>
        <v>1.25</v>
      </c>
      <c r="N4" s="14">
        <v>-218.44</v>
      </c>
      <c r="O4" s="14">
        <f t="shared" ref="O4:O13" si="6">IF(N4&gt;QUARTILE($N$4:$N$13,3),$B$47,IF(AND(N4&lt;=QUARTILE($N$4:$N$13,3),N4&gt;QUARTILE($N$4:$N$13,2)),$B$46,IF(AND(N4&lt;=QUARTILE($N$4:$N$13,2),N4&gt;QUARTILE($N$4:$N$13,1)),$B$45,$B$44)))</f>
        <v>4.5</v>
      </c>
      <c r="P4" s="14">
        <v>1</v>
      </c>
      <c r="Q4" s="14" t="str">
        <f t="shared" ref="Q4:Q13" si="7">IF(P4=0,"0","0,5")</f>
        <v>0,5</v>
      </c>
      <c r="R4" s="12">
        <v>0.7641</v>
      </c>
      <c r="S4" s="12" t="str">
        <f t="shared" ref="S4:S13" si="8">IF(R4&gt;26.78%,"9",IF(R4&lt;=-0.44%,"2,25",IF(AND(R4&gt;-0.44%,R4&lt;=9.53%),"4,5","6,75")))</f>
        <v>9</v>
      </c>
      <c r="T4" s="22">
        <v>1</v>
      </c>
      <c r="U4" s="12" t="str">
        <f t="shared" ref="U4:U13" si="9">IF(T4=0,"0","1")</f>
        <v>1</v>
      </c>
      <c r="V4" s="12">
        <v>-0.95430000000000004</v>
      </c>
      <c r="W4" s="12" t="str">
        <f t="shared" ref="W4:W13" si="10">IF(V4&gt;20.2725%,"13,5",IF(V4&lt;=-4.11%,"3,375",IF(AND(V4&gt;-4.11%,V4&lt;=5.27%),"6,75","10,125")))</f>
        <v>3,375</v>
      </c>
      <c r="X4" s="22">
        <v>0</v>
      </c>
      <c r="Y4" s="12" t="str">
        <f t="shared" ref="Y4:Y13" si="11">IF(X4=0,"0","1,5")</f>
        <v>0</v>
      </c>
      <c r="Z4" s="12">
        <v>0.65480000000000005</v>
      </c>
      <c r="AA4" s="12" t="str">
        <f t="shared" ref="AA4:AA13" si="12">IF(Z4&gt;14.8%,"13,5",IF(Z4&lt;=-8.71%,"3,375",IF(AND(Z4&gt;-8.71%,Z4&lt;=2.62%),"6,75","10,125")))</f>
        <v>13,5</v>
      </c>
      <c r="AB4" s="22">
        <v>0</v>
      </c>
      <c r="AC4" s="12" t="str">
        <f t="shared" ref="AC4:AC13" si="13">IF(AB4=0,"0","1,5")</f>
        <v>0</v>
      </c>
      <c r="AD4" s="13">
        <v>0.51170199999999999</v>
      </c>
      <c r="AE4" s="20">
        <f t="shared" ref="AE4:AE13" si="14">IF(AD4&gt;QUARTILE($AD$4:$AD$13,3),$B$71,IF(AND(AD4&lt;=QUARTILE($AD$4:$AD$13,3),AD4&gt;QUARTILE($AD$4:$AD$13,2)),$B$70,IF(AND(AD4&lt;=QUARTILE($AD$4:$AD$13,2),AD4&gt;QUARTILE($AD$4:$AD$13,1)),$B$69,$B$68)))</f>
        <v>1.125</v>
      </c>
      <c r="AF4" s="22">
        <v>0</v>
      </c>
      <c r="AG4" s="13" t="str">
        <f t="shared" ref="AG4:AG13" si="15">IF(AF4=0,"0","0,5")</f>
        <v>0</v>
      </c>
      <c r="AH4" s="12">
        <v>6.4899999999999999E-2</v>
      </c>
      <c r="AI4" s="20">
        <f>IF(AH4&gt;QUARTILE($AH$4:$AH$13,3),$B$77,IF(AND(AH4&lt;=QUARTILE($AH$4:$AH$13,3),AH4&gt;QUARTILE($AH$4:$AH$13,2)),$B$76,IF(AND(AH4&lt;=QUARTILE(AH4:$AH$13,2),AH4&gt;QUARTILE($AH$4:$AH$13,1)),$B$75,$B$74)))</f>
        <v>2.25</v>
      </c>
      <c r="AJ4" s="3">
        <v>0</v>
      </c>
      <c r="AK4" s="3" t="str">
        <f t="shared" ref="AK4:AK13" si="16">IF(AJ4=0,"0","1")</f>
        <v>0</v>
      </c>
      <c r="AL4" s="10">
        <f t="shared" ref="AL4:AL13" si="17">C4+E4+G4+I4+K4+M4+O4+Q4+S4+U4+W4+Y4+AA4+AC4+AE4+AG4+AI4+AK4</f>
        <v>54.625</v>
      </c>
      <c r="AM4" s="2" t="s">
        <v>79</v>
      </c>
    </row>
    <row r="5" spans="1:39">
      <c r="A5" s="23" t="s">
        <v>78</v>
      </c>
      <c r="B5" s="14">
        <v>63.8</v>
      </c>
      <c r="C5" s="14" t="str">
        <f t="shared" si="0"/>
        <v>13,5</v>
      </c>
      <c r="D5" s="3">
        <v>0</v>
      </c>
      <c r="E5" s="3" t="str">
        <f t="shared" si="1"/>
        <v>0</v>
      </c>
      <c r="F5" s="14">
        <v>103.7</v>
      </c>
      <c r="G5" s="14" t="str">
        <f t="shared" si="2"/>
        <v>13,5</v>
      </c>
      <c r="H5" s="3">
        <v>0</v>
      </c>
      <c r="I5" s="3" t="str">
        <f t="shared" si="3"/>
        <v>0</v>
      </c>
      <c r="J5" s="12">
        <v>0.1232</v>
      </c>
      <c r="K5" s="20">
        <f t="shared" si="4"/>
        <v>5</v>
      </c>
      <c r="L5" s="12">
        <v>0.1893</v>
      </c>
      <c r="M5" s="20">
        <f t="shared" si="5"/>
        <v>3.75</v>
      </c>
      <c r="N5" s="14">
        <v>-3.2</v>
      </c>
      <c r="O5" s="14">
        <f t="shared" si="6"/>
        <v>3.375</v>
      </c>
      <c r="P5" s="14">
        <v>1</v>
      </c>
      <c r="Q5" s="14" t="str">
        <f t="shared" si="7"/>
        <v>0,5</v>
      </c>
      <c r="R5" s="12">
        <v>0.29210000000000003</v>
      </c>
      <c r="S5" s="12" t="str">
        <f t="shared" si="8"/>
        <v>9</v>
      </c>
      <c r="T5" s="22">
        <v>1</v>
      </c>
      <c r="U5" s="12" t="str">
        <f t="shared" si="9"/>
        <v>1</v>
      </c>
      <c r="V5" s="12">
        <v>0.27960000000000002</v>
      </c>
      <c r="W5" s="12" t="str">
        <f t="shared" si="10"/>
        <v>13,5</v>
      </c>
      <c r="X5" s="22">
        <v>1</v>
      </c>
      <c r="Y5" s="12" t="str">
        <f t="shared" si="11"/>
        <v>1,5</v>
      </c>
      <c r="Z5" s="12">
        <v>0.22500000000000001</v>
      </c>
      <c r="AA5" s="12" t="str">
        <f t="shared" si="12"/>
        <v>13,5</v>
      </c>
      <c r="AB5" s="22">
        <v>1</v>
      </c>
      <c r="AC5" s="12" t="str">
        <f t="shared" si="13"/>
        <v>1,5</v>
      </c>
      <c r="AD5" s="13">
        <v>1.388153</v>
      </c>
      <c r="AE5" s="20">
        <f t="shared" si="14"/>
        <v>4.5</v>
      </c>
      <c r="AF5" s="22">
        <v>1</v>
      </c>
      <c r="AG5" s="13" t="str">
        <f t="shared" si="15"/>
        <v>0,5</v>
      </c>
      <c r="AH5" s="12">
        <v>0.96509999999999996</v>
      </c>
      <c r="AI5" s="20">
        <f>IF(AH5&gt;QUARTILE($AH$4:$AH$13,3),$B$77,IF(AND(AH5&lt;=QUARTILE($AH$4:$AH$13,3),AH5&gt;QUARTILE($AH$4:$AH$13,2)),$B$76,IF(AND(AH5&lt;=QUARTILE(AH5:$AH$13,2),AH5&gt;QUARTILE($AH$4:$AH$13,1)),$B$75,$B$74)))</f>
        <v>9</v>
      </c>
      <c r="AJ5" s="3">
        <v>1</v>
      </c>
      <c r="AK5" s="3" t="str">
        <f t="shared" si="16"/>
        <v>1</v>
      </c>
      <c r="AL5" s="10">
        <f t="shared" si="17"/>
        <v>94.625</v>
      </c>
      <c r="AM5" s="2" t="s">
        <v>77</v>
      </c>
    </row>
    <row r="6" spans="1:39">
      <c r="A6" s="23" t="s">
        <v>76</v>
      </c>
      <c r="B6" s="14">
        <v>110.5</v>
      </c>
      <c r="C6" s="14" t="str">
        <f t="shared" si="0"/>
        <v>13,5</v>
      </c>
      <c r="D6" s="3">
        <v>1</v>
      </c>
      <c r="E6" s="3" t="str">
        <f t="shared" si="1"/>
        <v>1,5</v>
      </c>
      <c r="F6" s="14">
        <v>144.5</v>
      </c>
      <c r="G6" s="14" t="str">
        <f t="shared" si="2"/>
        <v>13,5</v>
      </c>
      <c r="H6" s="3">
        <v>1</v>
      </c>
      <c r="I6" s="3" t="str">
        <f t="shared" si="3"/>
        <v>1,5</v>
      </c>
      <c r="J6" s="12">
        <v>2.1299999999999999E-2</v>
      </c>
      <c r="K6" s="20">
        <f t="shared" si="4"/>
        <v>2.5</v>
      </c>
      <c r="L6" s="12">
        <v>-2.4199999999999999E-2</v>
      </c>
      <c r="M6" s="20">
        <f t="shared" si="5"/>
        <v>2.5</v>
      </c>
      <c r="N6" s="14">
        <v>13.9</v>
      </c>
      <c r="O6" s="14">
        <f t="shared" si="6"/>
        <v>2.25</v>
      </c>
      <c r="P6" s="14">
        <v>1</v>
      </c>
      <c r="Q6" s="14" t="str">
        <f t="shared" si="7"/>
        <v>0,5</v>
      </c>
      <c r="R6" s="12">
        <v>0.43580000000000002</v>
      </c>
      <c r="S6" s="12" t="str">
        <f t="shared" si="8"/>
        <v>9</v>
      </c>
      <c r="T6" s="22">
        <v>0</v>
      </c>
      <c r="U6" s="12" t="str">
        <f t="shared" si="9"/>
        <v>0</v>
      </c>
      <c r="V6" s="12">
        <v>0.4279</v>
      </c>
      <c r="W6" s="12" t="str">
        <f t="shared" si="10"/>
        <v>13,5</v>
      </c>
      <c r="X6" s="22">
        <v>0</v>
      </c>
      <c r="Y6" s="12" t="str">
        <f t="shared" si="11"/>
        <v>0</v>
      </c>
      <c r="Z6" s="12">
        <v>0.34129999999999999</v>
      </c>
      <c r="AA6" s="12" t="str">
        <f t="shared" si="12"/>
        <v>13,5</v>
      </c>
      <c r="AB6" s="22">
        <v>0</v>
      </c>
      <c r="AC6" s="12" t="str">
        <f t="shared" si="13"/>
        <v>0</v>
      </c>
      <c r="AD6" s="13">
        <v>1.747849</v>
      </c>
      <c r="AE6" s="20">
        <f t="shared" si="14"/>
        <v>4.5</v>
      </c>
      <c r="AF6" s="22">
        <v>0</v>
      </c>
      <c r="AG6" s="13" t="str">
        <f t="shared" si="15"/>
        <v>0</v>
      </c>
      <c r="AH6" s="12">
        <v>1.5153000000000001</v>
      </c>
      <c r="AI6" s="20">
        <f>IF(AH6&gt;QUARTILE($AH$4:$AH$13,3),$B$77,IF(AND(AH6&lt;=QUARTILE($AH$4:$AH$13,3),AH6&gt;QUARTILE($AH$4:$AH$13,2)),$B$76,IF(AND(AH6&lt;=QUARTILE(AH6:$AH$13,2),AH6&gt;QUARTILE($AH$4:$AH$13,1)),$B$75,$B$74)))</f>
        <v>9</v>
      </c>
      <c r="AJ6" s="3">
        <v>1</v>
      </c>
      <c r="AK6" s="3" t="str">
        <f t="shared" si="16"/>
        <v>1</v>
      </c>
      <c r="AL6" s="10">
        <f t="shared" si="17"/>
        <v>88.25</v>
      </c>
      <c r="AM6" s="2" t="s">
        <v>75</v>
      </c>
    </row>
    <row r="7" spans="1:39">
      <c r="A7" s="23" t="s">
        <v>74</v>
      </c>
      <c r="B7" s="14">
        <v>49.2</v>
      </c>
      <c r="C7" s="14" t="str">
        <f t="shared" si="0"/>
        <v>13,5</v>
      </c>
      <c r="D7" s="3">
        <v>0</v>
      </c>
      <c r="E7" s="3" t="str">
        <f t="shared" si="1"/>
        <v>0</v>
      </c>
      <c r="F7" s="14">
        <v>67.900000000000006</v>
      </c>
      <c r="G7" s="14" t="str">
        <f t="shared" si="2"/>
        <v>13,5</v>
      </c>
      <c r="H7" s="3">
        <v>0</v>
      </c>
      <c r="I7" s="3" t="str">
        <f t="shared" si="3"/>
        <v>0</v>
      </c>
      <c r="J7" s="12">
        <v>1.89E-2</v>
      </c>
      <c r="K7" s="20">
        <f t="shared" si="4"/>
        <v>1.25</v>
      </c>
      <c r="L7" s="12">
        <v>-0.1066</v>
      </c>
      <c r="M7" s="20">
        <f t="shared" si="5"/>
        <v>2.5</v>
      </c>
      <c r="N7" s="14">
        <v>25.44</v>
      </c>
      <c r="O7" s="14">
        <f t="shared" si="6"/>
        <v>1.125</v>
      </c>
      <c r="P7" s="14">
        <v>1</v>
      </c>
      <c r="Q7" s="14" t="str">
        <f t="shared" si="7"/>
        <v>0,5</v>
      </c>
      <c r="R7" s="12">
        <v>0.2918</v>
      </c>
      <c r="S7" s="12" t="str">
        <f t="shared" si="8"/>
        <v>9</v>
      </c>
      <c r="T7" s="22">
        <v>0</v>
      </c>
      <c r="U7" s="12" t="str">
        <f t="shared" si="9"/>
        <v>0</v>
      </c>
      <c r="V7" s="12">
        <v>0.27760000000000001</v>
      </c>
      <c r="W7" s="12" t="str">
        <f t="shared" si="10"/>
        <v>13,5</v>
      </c>
      <c r="X7" s="22">
        <v>0</v>
      </c>
      <c r="Y7" s="12" t="str">
        <f t="shared" si="11"/>
        <v>0</v>
      </c>
      <c r="Z7" s="12">
        <v>0.21970000000000001</v>
      </c>
      <c r="AA7" s="12" t="str">
        <f t="shared" si="12"/>
        <v>13,5</v>
      </c>
      <c r="AB7" s="22">
        <v>0</v>
      </c>
      <c r="AC7" s="12" t="str">
        <f t="shared" si="13"/>
        <v>0</v>
      </c>
      <c r="AD7" s="13">
        <v>1.3843000000000001</v>
      </c>
      <c r="AE7" s="20">
        <f t="shared" si="14"/>
        <v>3.375</v>
      </c>
      <c r="AF7" s="22">
        <v>0</v>
      </c>
      <c r="AG7" s="13" t="str">
        <f t="shared" si="15"/>
        <v>0</v>
      </c>
      <c r="AH7" s="12">
        <v>0.69269999999999998</v>
      </c>
      <c r="AI7" s="20">
        <f>IF(AH7&gt;QUARTILE($AH$4:$AH$13,3),$B$77,IF(AND(AH7&lt;=QUARTILE($AH$4:$AH$13,3),AH7&gt;QUARTILE($AH$4:$AH$13,2)),$B$76,IF(AND(AH7&lt;=QUARTILE(AH7:$AH$13,2),AH7&gt;QUARTILE($AH$4:$AH$13,1)),$B$75,$B$74)))</f>
        <v>4.5</v>
      </c>
      <c r="AJ7" s="3">
        <v>0</v>
      </c>
      <c r="AK7" s="3" t="str">
        <f t="shared" si="16"/>
        <v>0</v>
      </c>
      <c r="AL7" s="10">
        <f t="shared" si="17"/>
        <v>76.25</v>
      </c>
      <c r="AM7" s="2" t="s">
        <v>73</v>
      </c>
    </row>
    <row r="8" spans="1:39">
      <c r="A8" s="23" t="s">
        <v>72</v>
      </c>
      <c r="B8" s="14">
        <v>16.3</v>
      </c>
      <c r="C8" s="14" t="str">
        <f t="shared" si="0"/>
        <v>10,125</v>
      </c>
      <c r="D8" s="3">
        <v>1</v>
      </c>
      <c r="E8" s="3" t="str">
        <f t="shared" si="1"/>
        <v>1,5</v>
      </c>
      <c r="F8" s="14">
        <v>28.1</v>
      </c>
      <c r="G8" s="14" t="str">
        <f t="shared" si="2"/>
        <v>10,125</v>
      </c>
      <c r="H8" s="3">
        <v>1</v>
      </c>
      <c r="I8" s="3" t="str">
        <f t="shared" si="3"/>
        <v>1,5</v>
      </c>
      <c r="J8" s="12">
        <v>4.9599999999999998E-2</v>
      </c>
      <c r="K8" s="20">
        <f t="shared" si="4"/>
        <v>3.75</v>
      </c>
      <c r="L8" s="12">
        <v>5.3964999999999996</v>
      </c>
      <c r="M8" s="20">
        <f t="shared" si="5"/>
        <v>5</v>
      </c>
      <c r="N8" s="14">
        <v>-13.76</v>
      </c>
      <c r="O8" s="14">
        <f t="shared" si="6"/>
        <v>3.375</v>
      </c>
      <c r="P8" s="14">
        <v>1</v>
      </c>
      <c r="Q8" s="14" t="str">
        <f t="shared" si="7"/>
        <v>0,5</v>
      </c>
      <c r="R8" s="12">
        <v>0.10299999999999999</v>
      </c>
      <c r="S8" s="12" t="str">
        <f t="shared" si="8"/>
        <v>6,75</v>
      </c>
      <c r="T8" s="22">
        <v>1</v>
      </c>
      <c r="U8" s="12" t="str">
        <f t="shared" si="9"/>
        <v>1</v>
      </c>
      <c r="V8" s="12">
        <v>9.4399999999999998E-2</v>
      </c>
      <c r="W8" s="12" t="str">
        <f t="shared" si="10"/>
        <v>10,125</v>
      </c>
      <c r="X8" s="22">
        <v>1</v>
      </c>
      <c r="Y8" s="12" t="str">
        <f t="shared" si="11"/>
        <v>1,5</v>
      </c>
      <c r="Z8" s="12">
        <v>6.6400000000000001E-2</v>
      </c>
      <c r="AA8" s="12" t="str">
        <f t="shared" si="12"/>
        <v>10,125</v>
      </c>
      <c r="AB8" s="22">
        <v>1</v>
      </c>
      <c r="AC8" s="12" t="str">
        <f t="shared" si="13"/>
        <v>1,5</v>
      </c>
      <c r="AD8" s="13">
        <v>1.1043000000000001</v>
      </c>
      <c r="AE8" s="20">
        <f t="shared" si="14"/>
        <v>1.125</v>
      </c>
      <c r="AF8" s="22">
        <v>1</v>
      </c>
      <c r="AG8" s="13" t="str">
        <f t="shared" si="15"/>
        <v>0,5</v>
      </c>
      <c r="AH8" s="12">
        <v>0.2026</v>
      </c>
      <c r="AI8" s="20">
        <f>IF(AH8&gt;QUARTILE($AH$4:$AH$13,3),$B$77,IF(AND(AH8&lt;=QUARTILE($AH$4:$AH$13,3),AH8&gt;QUARTILE($AH$4:$AH$13,2)),$B$76,IF(AND(AH8&lt;=QUARTILE(AH8:$AH$13,2),AH8&gt;QUARTILE($AH$4:$AH$13,1)),$B$75,$B$74)))</f>
        <v>2.25</v>
      </c>
      <c r="AJ8" s="3">
        <v>1</v>
      </c>
      <c r="AK8" s="3" t="str">
        <f t="shared" si="16"/>
        <v>1</v>
      </c>
      <c r="AL8" s="10">
        <f t="shared" si="17"/>
        <v>71.75</v>
      </c>
      <c r="AM8" s="2" t="s">
        <v>71</v>
      </c>
    </row>
    <row r="9" spans="1:39">
      <c r="A9" s="23" t="s">
        <v>70</v>
      </c>
      <c r="B9" s="14">
        <v>81.400000000000006</v>
      </c>
      <c r="C9" s="14" t="str">
        <f t="shared" si="0"/>
        <v>13,5</v>
      </c>
      <c r="D9" s="3">
        <v>0</v>
      </c>
      <c r="E9" s="3" t="str">
        <f t="shared" si="1"/>
        <v>0</v>
      </c>
      <c r="F9" s="14">
        <v>91.1</v>
      </c>
      <c r="G9" s="14" t="str">
        <f t="shared" si="2"/>
        <v>13,5</v>
      </c>
      <c r="H9" s="3">
        <v>0</v>
      </c>
      <c r="I9" s="3" t="str">
        <f t="shared" si="3"/>
        <v>0</v>
      </c>
      <c r="J9" s="12">
        <v>0.24740000000000001</v>
      </c>
      <c r="K9" s="20">
        <f t="shared" si="4"/>
        <v>5</v>
      </c>
      <c r="L9" s="12">
        <v>5.67E-2</v>
      </c>
      <c r="M9" s="20">
        <f t="shared" si="5"/>
        <v>3.75</v>
      </c>
      <c r="N9" s="14">
        <v>-69.5</v>
      </c>
      <c r="O9" s="14">
        <f t="shared" si="6"/>
        <v>4.5</v>
      </c>
      <c r="P9" s="14">
        <v>1</v>
      </c>
      <c r="Q9" s="14" t="str">
        <f t="shared" si="7"/>
        <v>0,5</v>
      </c>
      <c r="R9" s="12">
        <v>0.70499999999999996</v>
      </c>
      <c r="S9" s="12" t="str">
        <f t="shared" si="8"/>
        <v>9</v>
      </c>
      <c r="T9" s="22">
        <v>0</v>
      </c>
      <c r="U9" s="12" t="str">
        <f t="shared" si="9"/>
        <v>0</v>
      </c>
      <c r="V9" s="12">
        <v>0.67510000000000003</v>
      </c>
      <c r="W9" s="12" t="str">
        <f t="shared" si="10"/>
        <v>13,5</v>
      </c>
      <c r="X9" s="22">
        <v>0</v>
      </c>
      <c r="Y9" s="12" t="str">
        <f t="shared" si="11"/>
        <v>0</v>
      </c>
      <c r="Z9" s="12">
        <v>0.54190000000000005</v>
      </c>
      <c r="AA9" s="12" t="str">
        <f t="shared" si="12"/>
        <v>13,5</v>
      </c>
      <c r="AB9" s="22">
        <v>0</v>
      </c>
      <c r="AC9" s="12" t="str">
        <f t="shared" si="13"/>
        <v>0</v>
      </c>
      <c r="AD9" s="13">
        <v>3.0777999999999999</v>
      </c>
      <c r="AE9" s="20">
        <f t="shared" si="14"/>
        <v>4.5</v>
      </c>
      <c r="AF9" s="22">
        <v>0</v>
      </c>
      <c r="AG9" s="13" t="str">
        <f t="shared" si="15"/>
        <v>0</v>
      </c>
      <c r="AH9" s="12">
        <v>0.83320000000000005</v>
      </c>
      <c r="AI9" s="20">
        <f>IF(AH9&gt;QUARTILE($AH$4:$AH$13,3),$B$77,IF(AND(AH9&lt;=QUARTILE($AH$4:$AH$13,3),AH9&gt;QUARTILE($AH$4:$AH$13,2)),$B$76,IF(AND(AH9&lt;=QUARTILE(AH9:$AH$13,2),AH9&gt;QUARTILE($AH$4:$AH$13,1)),$B$75,$B$74)))</f>
        <v>6.75</v>
      </c>
      <c r="AJ9" s="3">
        <v>0</v>
      </c>
      <c r="AK9" s="3" t="str">
        <f t="shared" si="16"/>
        <v>0</v>
      </c>
      <c r="AL9" s="10">
        <f t="shared" si="17"/>
        <v>88</v>
      </c>
      <c r="AM9" s="2" t="s">
        <v>69</v>
      </c>
    </row>
    <row r="10" spans="1:39">
      <c r="A10" s="23" t="s">
        <v>68</v>
      </c>
      <c r="B10" s="14">
        <v>28.3</v>
      </c>
      <c r="C10" s="14" t="str">
        <f t="shared" si="0"/>
        <v>13,5</v>
      </c>
      <c r="D10" s="3">
        <v>0</v>
      </c>
      <c r="E10" s="3" t="str">
        <f t="shared" si="1"/>
        <v>0</v>
      </c>
      <c r="F10" s="14">
        <v>57.7</v>
      </c>
      <c r="G10" s="14" t="str">
        <f t="shared" si="2"/>
        <v>10,125</v>
      </c>
      <c r="H10" s="3">
        <v>0</v>
      </c>
      <c r="I10" s="3" t="str">
        <f t="shared" si="3"/>
        <v>0</v>
      </c>
      <c r="J10" s="12">
        <v>0.1172</v>
      </c>
      <c r="K10" s="20">
        <f t="shared" si="4"/>
        <v>3.75</v>
      </c>
      <c r="L10" s="12">
        <v>-0.56579999999999997</v>
      </c>
      <c r="M10" s="20">
        <f t="shared" si="5"/>
        <v>1.25</v>
      </c>
      <c r="N10" s="14">
        <v>-87.05</v>
      </c>
      <c r="O10" s="14">
        <f t="shared" si="6"/>
        <v>4.5</v>
      </c>
      <c r="P10" s="14">
        <v>1</v>
      </c>
      <c r="Q10" s="14" t="str">
        <f t="shared" si="7"/>
        <v>0,5</v>
      </c>
      <c r="R10" s="12">
        <v>0.19370000000000001</v>
      </c>
      <c r="S10" s="12" t="str">
        <f t="shared" si="8"/>
        <v>6,75</v>
      </c>
      <c r="T10" s="22">
        <v>0</v>
      </c>
      <c r="U10" s="12" t="str">
        <f t="shared" si="9"/>
        <v>0</v>
      </c>
      <c r="V10" s="12">
        <v>0.1797</v>
      </c>
      <c r="W10" s="12" t="str">
        <f t="shared" si="10"/>
        <v>10,125</v>
      </c>
      <c r="X10" s="22">
        <v>0</v>
      </c>
      <c r="Y10" s="12" t="str">
        <f t="shared" si="11"/>
        <v>0</v>
      </c>
      <c r="Z10" s="12">
        <v>0.1401</v>
      </c>
      <c r="AA10" s="12" t="str">
        <f t="shared" si="12"/>
        <v>10,125</v>
      </c>
      <c r="AB10" s="22">
        <v>0</v>
      </c>
      <c r="AC10" s="12" t="str">
        <f t="shared" si="13"/>
        <v>0</v>
      </c>
      <c r="AD10" s="13">
        <v>1.2191000000000001</v>
      </c>
      <c r="AE10" s="20">
        <f t="shared" si="14"/>
        <v>2.25</v>
      </c>
      <c r="AF10" s="22">
        <v>0</v>
      </c>
      <c r="AG10" s="13" t="str">
        <f t="shared" si="15"/>
        <v>0</v>
      </c>
      <c r="AH10" s="12">
        <v>0.94420000000000004</v>
      </c>
      <c r="AI10" s="20">
        <f>IF(AH10&gt;QUARTILE($AH$4:$AH$13,3),$B$77,IF(AND(AH10&lt;=QUARTILE($AH$4:$AH$13,3),AH10&gt;QUARTILE($AH$4:$AH$13,2)),$B$76,IF(AND(AH10&lt;=QUARTILE(AH10:$AH$13,2),AH10&gt;QUARTILE($AH$4:$AH$13,1)),$B$75,$B$74)))</f>
        <v>6.75</v>
      </c>
      <c r="AJ10" s="3">
        <v>0</v>
      </c>
      <c r="AK10" s="3" t="str">
        <f t="shared" si="16"/>
        <v>0</v>
      </c>
      <c r="AL10" s="10">
        <f t="shared" si="17"/>
        <v>69.625</v>
      </c>
      <c r="AM10" s="2" t="s">
        <v>67</v>
      </c>
    </row>
    <row r="11" spans="1:39">
      <c r="A11" s="23" t="s">
        <v>66</v>
      </c>
      <c r="B11" s="14">
        <v>22.4</v>
      </c>
      <c r="C11" s="14" t="str">
        <f t="shared" si="0"/>
        <v>13,5</v>
      </c>
      <c r="D11" s="3">
        <v>1</v>
      </c>
      <c r="E11" s="3" t="str">
        <f t="shared" si="1"/>
        <v>1,5</v>
      </c>
      <c r="F11" s="14">
        <v>121.7</v>
      </c>
      <c r="G11" s="14" t="str">
        <f t="shared" si="2"/>
        <v>13,5</v>
      </c>
      <c r="H11" s="3">
        <v>1</v>
      </c>
      <c r="I11" s="3" t="str">
        <f t="shared" si="3"/>
        <v>1,5</v>
      </c>
      <c r="J11" s="12">
        <v>-5.5E-2</v>
      </c>
      <c r="K11" s="20">
        <f t="shared" si="4"/>
        <v>1.25</v>
      </c>
      <c r="L11" s="12">
        <v>1.0501</v>
      </c>
      <c r="M11" s="20">
        <f t="shared" si="5"/>
        <v>5</v>
      </c>
      <c r="N11" s="14">
        <v>1.43</v>
      </c>
      <c r="O11" s="14">
        <f t="shared" si="6"/>
        <v>2.25</v>
      </c>
      <c r="P11" s="14">
        <v>0</v>
      </c>
      <c r="Q11" s="14" t="str">
        <f t="shared" si="7"/>
        <v>0</v>
      </c>
      <c r="R11" s="12">
        <v>0.1368</v>
      </c>
      <c r="S11" s="12" t="str">
        <f t="shared" si="8"/>
        <v>6,75</v>
      </c>
      <c r="T11" s="22">
        <v>1</v>
      </c>
      <c r="U11" s="12" t="str">
        <f t="shared" si="9"/>
        <v>1</v>
      </c>
      <c r="V11" s="12">
        <v>0.1023</v>
      </c>
      <c r="W11" s="12" t="str">
        <f t="shared" si="10"/>
        <v>10,125</v>
      </c>
      <c r="X11" s="22">
        <v>1</v>
      </c>
      <c r="Y11" s="12" t="str">
        <f t="shared" si="11"/>
        <v>1,5</v>
      </c>
      <c r="Z11" s="12">
        <v>0.1037</v>
      </c>
      <c r="AA11" s="12" t="str">
        <f t="shared" si="12"/>
        <v>10,125</v>
      </c>
      <c r="AB11" s="22">
        <v>1</v>
      </c>
      <c r="AC11" s="12" t="str">
        <f t="shared" si="13"/>
        <v>1,5</v>
      </c>
      <c r="AD11" s="13">
        <v>1.1133999999999999</v>
      </c>
      <c r="AE11" s="20">
        <f t="shared" si="14"/>
        <v>2.25</v>
      </c>
      <c r="AF11" s="22">
        <v>1</v>
      </c>
      <c r="AG11" s="13" t="str">
        <f t="shared" si="15"/>
        <v>0,5</v>
      </c>
      <c r="AH11" s="12">
        <v>0.95979999999999999</v>
      </c>
      <c r="AI11" s="20">
        <f>IF(AH11&gt;QUARTILE($AH$4:$AH$13,3),$B$77,IF(AND(AH11&lt;=QUARTILE($AH$4:$AH$13,3),AH11&gt;QUARTILE($AH$4:$AH$13,2)),$B$76,IF(AND(AH11&lt;=QUARTILE(AH11:$AH$13,2),AH11&gt;QUARTILE($AH$4:$AH$13,1)),$B$75,$B$74)))</f>
        <v>9</v>
      </c>
      <c r="AJ11" s="3">
        <v>0</v>
      </c>
      <c r="AK11" s="3" t="str">
        <f t="shared" si="16"/>
        <v>0</v>
      </c>
      <c r="AL11" s="10">
        <f t="shared" si="17"/>
        <v>81.25</v>
      </c>
      <c r="AM11" s="2" t="s">
        <v>65</v>
      </c>
    </row>
    <row r="12" spans="1:39">
      <c r="A12" s="23" t="s">
        <v>64</v>
      </c>
      <c r="B12" s="14">
        <v>44.6</v>
      </c>
      <c r="C12" s="14" t="str">
        <f t="shared" si="0"/>
        <v>13,5</v>
      </c>
      <c r="D12" s="3">
        <v>1</v>
      </c>
      <c r="E12" s="3" t="str">
        <f t="shared" si="1"/>
        <v>1,5</v>
      </c>
      <c r="F12" s="14">
        <v>97.2</v>
      </c>
      <c r="G12" s="14" t="str">
        <f t="shared" si="2"/>
        <v>13,5</v>
      </c>
      <c r="H12" s="3">
        <v>0</v>
      </c>
      <c r="I12" s="3" t="str">
        <f t="shared" si="3"/>
        <v>0</v>
      </c>
      <c r="J12" s="12">
        <v>3.56E-2</v>
      </c>
      <c r="K12" s="20">
        <f t="shared" si="4"/>
        <v>2.5</v>
      </c>
      <c r="L12" s="12">
        <v>1.3813</v>
      </c>
      <c r="M12" s="20">
        <f t="shared" si="5"/>
        <v>5</v>
      </c>
      <c r="N12" s="14">
        <v>122.34</v>
      </c>
      <c r="O12" s="14">
        <f t="shared" si="6"/>
        <v>1.125</v>
      </c>
      <c r="P12" s="14">
        <v>0</v>
      </c>
      <c r="Q12" s="14" t="str">
        <f t="shared" si="7"/>
        <v>0</v>
      </c>
      <c r="R12" s="12">
        <v>0.22270000000000001</v>
      </c>
      <c r="S12" s="12" t="str">
        <f t="shared" si="8"/>
        <v>6,75</v>
      </c>
      <c r="T12" s="22">
        <v>1</v>
      </c>
      <c r="U12" s="12" t="str">
        <f t="shared" si="9"/>
        <v>1</v>
      </c>
      <c r="V12" s="12">
        <v>0.26229999999999998</v>
      </c>
      <c r="W12" s="12" t="str">
        <f t="shared" si="10"/>
        <v>13,5</v>
      </c>
      <c r="X12" s="22">
        <v>1</v>
      </c>
      <c r="Y12" s="12" t="str">
        <f t="shared" si="11"/>
        <v>1,5</v>
      </c>
      <c r="Z12" s="12">
        <v>0.2195</v>
      </c>
      <c r="AA12" s="12" t="str">
        <f t="shared" si="12"/>
        <v>13,5</v>
      </c>
      <c r="AB12" s="22">
        <v>1</v>
      </c>
      <c r="AC12" s="12" t="str">
        <f t="shared" si="13"/>
        <v>1,5</v>
      </c>
      <c r="AD12" s="13">
        <v>1.3554999999999999</v>
      </c>
      <c r="AE12" s="20">
        <f t="shared" si="14"/>
        <v>3.375</v>
      </c>
      <c r="AF12" s="22">
        <v>1</v>
      </c>
      <c r="AG12" s="13" t="str">
        <f t="shared" si="15"/>
        <v>0,5</v>
      </c>
      <c r="AH12" s="12">
        <v>0.67830000000000001</v>
      </c>
      <c r="AI12" s="20" t="str">
        <f>IF(AH12&gt;97.21%,"9",IF(AH12&lt;28.4%,"2,25",IF(AND(AH12&gt;28.4%, AH12&lt;93.54%),"4,5","6,75")))</f>
        <v>4,5</v>
      </c>
      <c r="AJ12" s="3">
        <v>0</v>
      </c>
      <c r="AK12" s="3" t="str">
        <f t="shared" si="16"/>
        <v>0</v>
      </c>
      <c r="AL12" s="10">
        <f t="shared" si="17"/>
        <v>83.25</v>
      </c>
      <c r="AM12" s="2" t="s">
        <v>63</v>
      </c>
    </row>
    <row r="13" spans="1:39">
      <c r="A13" s="23" t="s">
        <v>62</v>
      </c>
      <c r="B13" s="14">
        <v>-0.1</v>
      </c>
      <c r="C13" s="14" t="str">
        <f t="shared" si="0"/>
        <v>6,75</v>
      </c>
      <c r="D13" s="3">
        <v>1</v>
      </c>
      <c r="E13" s="3" t="str">
        <f t="shared" si="1"/>
        <v>1,5</v>
      </c>
      <c r="F13" s="14">
        <v>-0.1</v>
      </c>
      <c r="G13" s="14" t="str">
        <f t="shared" si="2"/>
        <v>3,375</v>
      </c>
      <c r="H13" s="3">
        <v>1</v>
      </c>
      <c r="I13" s="3" t="str">
        <f t="shared" si="3"/>
        <v>1,5</v>
      </c>
      <c r="J13" s="12">
        <v>0.16950000000000001</v>
      </c>
      <c r="K13" s="20">
        <f t="shared" si="4"/>
        <v>5</v>
      </c>
      <c r="L13" s="12">
        <v>-61.298999999999999</v>
      </c>
      <c r="M13" s="20">
        <f t="shared" si="5"/>
        <v>1.25</v>
      </c>
      <c r="N13" s="14">
        <v>102.31</v>
      </c>
      <c r="O13" s="14">
        <f t="shared" si="6"/>
        <v>1.125</v>
      </c>
      <c r="P13" s="14">
        <v>1</v>
      </c>
      <c r="Q13" s="14" t="str">
        <f t="shared" si="7"/>
        <v>0,5</v>
      </c>
      <c r="R13" s="12">
        <v>7.6E-3</v>
      </c>
      <c r="S13" s="12" t="str">
        <f t="shared" si="8"/>
        <v>4,5</v>
      </c>
      <c r="T13" s="22">
        <v>1</v>
      </c>
      <c r="U13" s="12" t="str">
        <f t="shared" si="9"/>
        <v>1</v>
      </c>
      <c r="V13" s="12">
        <v>-5.6800000000000003E-2</v>
      </c>
      <c r="W13" s="12" t="str">
        <f t="shared" si="10"/>
        <v>3,375</v>
      </c>
      <c r="X13" s="22">
        <v>0</v>
      </c>
      <c r="Y13" s="12" t="str">
        <f t="shared" si="11"/>
        <v>0</v>
      </c>
      <c r="Z13" s="12">
        <v>-8.9999999999999998E-4</v>
      </c>
      <c r="AA13" s="12" t="str">
        <f t="shared" si="12"/>
        <v>6,75</v>
      </c>
      <c r="AB13" s="22">
        <v>1</v>
      </c>
      <c r="AC13" s="12" t="str">
        <f t="shared" si="13"/>
        <v>1,5</v>
      </c>
      <c r="AD13" s="13">
        <v>0.52715999999999996</v>
      </c>
      <c r="AE13" s="20">
        <f t="shared" si="14"/>
        <v>1.125</v>
      </c>
      <c r="AF13" s="22">
        <v>0</v>
      </c>
      <c r="AG13" s="13" t="str">
        <f t="shared" si="15"/>
        <v>0</v>
      </c>
      <c r="AH13" s="21">
        <v>-2.2603</v>
      </c>
      <c r="AI13" s="20">
        <f>IF(AH13&gt;QUARTILE($AH$4:$AH$13,3),$B$77,IF(AND(AH13&lt;=QUARTILE($AH$4:$AH$13,3),AH13&gt;QUARTILE($AH$4:$AH$13,2)),$B$76,IF(AND(AH13&lt;=QUARTILE(AH13:$AH$13,2),AH13&gt;QUARTILE($AH$4:$AH$13,1)),$B$75,$B$74)))</f>
        <v>2.25</v>
      </c>
      <c r="AJ13" s="3">
        <v>0</v>
      </c>
      <c r="AK13" s="3" t="str">
        <f t="shared" si="16"/>
        <v>0</v>
      </c>
      <c r="AL13" s="10">
        <f t="shared" si="17"/>
        <v>41.5</v>
      </c>
      <c r="AM13" s="2" t="s">
        <v>61</v>
      </c>
    </row>
    <row r="14" spans="1:39">
      <c r="B14" s="14"/>
      <c r="C14" s="14"/>
      <c r="J14" s="19"/>
      <c r="K14" s="19"/>
      <c r="L14" s="19"/>
      <c r="M14" s="19"/>
      <c r="N14" s="19"/>
      <c r="AD14" s="18"/>
      <c r="AE14" s="18"/>
      <c r="AF14" s="18"/>
      <c r="AG14" s="18"/>
      <c r="AH14" s="18"/>
    </row>
    <row r="15" spans="1:39">
      <c r="B15" s="14"/>
      <c r="C15" s="14"/>
    </row>
    <row r="17" spans="1:28" ht="18.75">
      <c r="A17" s="17" t="s">
        <v>60</v>
      </c>
      <c r="B17" s="17" t="s">
        <v>59</v>
      </c>
      <c r="C17" s="17"/>
      <c r="D17" s="17"/>
      <c r="E17" s="17"/>
      <c r="F17" s="17" t="s">
        <v>58</v>
      </c>
      <c r="G17" s="17"/>
      <c r="H17" s="16"/>
      <c r="I17" s="16"/>
      <c r="J17" s="16"/>
      <c r="K17" s="16"/>
      <c r="L17" s="16" t="s">
        <v>57</v>
      </c>
      <c r="M17" s="16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8" ht="17.25">
      <c r="A18" s="11" t="s">
        <v>56</v>
      </c>
      <c r="B18" s="9">
        <v>13.5</v>
      </c>
      <c r="C18" s="9"/>
      <c r="D18" s="10"/>
      <c r="E18" s="10"/>
      <c r="F18" s="9">
        <v>1.5</v>
      </c>
      <c r="G18" s="9"/>
      <c r="H18" s="8"/>
      <c r="I18" s="8"/>
      <c r="J18" s="8"/>
      <c r="K18" s="8"/>
      <c r="L18" s="9">
        <v>15</v>
      </c>
      <c r="M18" s="9"/>
      <c r="O18" s="12"/>
      <c r="P18" s="15"/>
      <c r="R18" s="14"/>
      <c r="S18" s="5"/>
      <c r="U18" s="12"/>
      <c r="V18" s="15"/>
      <c r="X18" s="13"/>
      <c r="Y18" s="5"/>
      <c r="AA18" s="12"/>
      <c r="AB18" s="15"/>
    </row>
    <row r="19" spans="1:28">
      <c r="A19" t="s">
        <v>55</v>
      </c>
      <c r="B19" s="3">
        <v>3.375</v>
      </c>
      <c r="C19" s="3"/>
      <c r="D19" s="3"/>
      <c r="E19" s="3"/>
      <c r="F19" s="3" t="s">
        <v>7</v>
      </c>
      <c r="G19" s="3"/>
      <c r="H19">
        <v>1.5</v>
      </c>
      <c r="O19" s="12"/>
      <c r="P19" s="15"/>
      <c r="R19" s="14"/>
      <c r="S19" s="5"/>
      <c r="U19" s="12"/>
      <c r="V19" s="15"/>
      <c r="X19" s="13"/>
      <c r="Y19" s="5"/>
      <c r="AA19" s="12"/>
      <c r="AB19" s="15"/>
    </row>
    <row r="20" spans="1:28">
      <c r="A20" t="s">
        <v>54</v>
      </c>
      <c r="B20" s="3">
        <v>6.75</v>
      </c>
      <c r="C20" s="3"/>
      <c r="D20" s="3"/>
      <c r="E20" s="3"/>
      <c r="F20" s="3" t="s">
        <v>4</v>
      </c>
      <c r="G20" s="3"/>
      <c r="H20">
        <v>0</v>
      </c>
      <c r="O20" s="12"/>
      <c r="P20" s="15"/>
      <c r="R20" s="14"/>
      <c r="S20" s="5"/>
      <c r="U20" s="12"/>
      <c r="V20" s="15"/>
      <c r="X20" s="13"/>
      <c r="Y20" s="5"/>
      <c r="AA20" s="12"/>
      <c r="AB20" s="15"/>
    </row>
    <row r="21" spans="1:28">
      <c r="A21" t="s">
        <v>53</v>
      </c>
      <c r="B21" s="3">
        <v>10.125</v>
      </c>
      <c r="C21" s="3"/>
      <c r="D21" s="3"/>
      <c r="E21" s="3"/>
      <c r="F21" s="3"/>
      <c r="G21" s="3"/>
      <c r="O21" s="12"/>
      <c r="R21" s="14"/>
      <c r="U21" s="12"/>
      <c r="V21" s="5"/>
      <c r="X21" s="13"/>
      <c r="AA21" s="12"/>
    </row>
    <row r="22" spans="1:28">
      <c r="A22" t="s">
        <v>52</v>
      </c>
      <c r="B22" s="3">
        <v>13.5</v>
      </c>
      <c r="C22" s="3"/>
      <c r="D22" s="3"/>
      <c r="E22" s="3"/>
      <c r="F22" s="3"/>
      <c r="G22" s="3"/>
      <c r="O22" s="12"/>
      <c r="R22" s="14"/>
      <c r="U22" s="12"/>
      <c r="X22" s="13"/>
      <c r="AA22" s="12"/>
    </row>
    <row r="23" spans="1:28">
      <c r="B23" s="3"/>
      <c r="C23" s="3"/>
      <c r="D23" s="3"/>
      <c r="E23" s="3"/>
      <c r="F23" s="3"/>
      <c r="G23" s="3"/>
      <c r="O23" s="12"/>
      <c r="R23" s="14"/>
      <c r="U23" s="12"/>
      <c r="X23" s="13"/>
      <c r="AA23" s="12"/>
    </row>
    <row r="24" spans="1:28" ht="17.25">
      <c r="A24" s="11" t="s">
        <v>51</v>
      </c>
      <c r="B24" s="9">
        <v>13.5</v>
      </c>
      <c r="C24" s="9"/>
      <c r="D24" s="10"/>
      <c r="E24" s="10"/>
      <c r="F24" s="9">
        <v>1.5</v>
      </c>
      <c r="G24" s="9"/>
      <c r="H24" s="8"/>
      <c r="L24" s="9">
        <v>15</v>
      </c>
      <c r="O24" s="12"/>
      <c r="R24" s="14"/>
      <c r="U24" s="12"/>
      <c r="X24" s="13"/>
      <c r="AA24" s="12"/>
    </row>
    <row r="25" spans="1:28">
      <c r="A25" t="s">
        <v>50</v>
      </c>
      <c r="B25" s="3">
        <v>3.375</v>
      </c>
      <c r="C25" s="3"/>
      <c r="D25" s="3"/>
      <c r="E25" s="3"/>
      <c r="F25" s="3" t="s">
        <v>7</v>
      </c>
      <c r="G25" s="3"/>
      <c r="H25">
        <v>1.5</v>
      </c>
      <c r="I25" s="8"/>
      <c r="J25" s="8"/>
      <c r="K25" s="8"/>
      <c r="L25" s="9"/>
      <c r="M25" s="9"/>
      <c r="O25" s="12"/>
      <c r="R25" s="14"/>
      <c r="U25" s="12"/>
      <c r="X25" s="13"/>
      <c r="AA25" s="12"/>
    </row>
    <row r="26" spans="1:28">
      <c r="A26" t="s">
        <v>49</v>
      </c>
      <c r="B26" s="3">
        <v>6.75</v>
      </c>
      <c r="C26" s="3"/>
      <c r="D26" s="3"/>
      <c r="E26" s="3"/>
      <c r="F26" s="3" t="s">
        <v>4</v>
      </c>
      <c r="G26" s="3"/>
      <c r="H26">
        <v>0</v>
      </c>
      <c r="O26" s="12"/>
      <c r="R26" s="14"/>
      <c r="U26" s="12"/>
      <c r="X26" s="13"/>
      <c r="AA26" s="12"/>
    </row>
    <row r="27" spans="1:28">
      <c r="A27" t="s">
        <v>48</v>
      </c>
      <c r="B27" s="3">
        <v>10.125</v>
      </c>
      <c r="C27" s="3"/>
      <c r="D27" s="3"/>
      <c r="E27" s="3"/>
      <c r="F27" s="3"/>
      <c r="G27" s="3"/>
      <c r="O27" s="12"/>
      <c r="R27" s="14"/>
      <c r="U27" s="12"/>
      <c r="X27" s="13"/>
      <c r="AA27" s="12"/>
    </row>
    <row r="28" spans="1:28">
      <c r="A28" t="s">
        <v>47</v>
      </c>
      <c r="B28" s="3">
        <v>13.5</v>
      </c>
      <c r="C28" s="3"/>
      <c r="D28" s="3"/>
      <c r="E28" s="3"/>
      <c r="F28" s="3"/>
      <c r="G28" s="3"/>
      <c r="O28" s="12"/>
      <c r="R28" s="14"/>
      <c r="U28" s="12"/>
      <c r="X28" s="13"/>
      <c r="AA28" s="12"/>
    </row>
    <row r="29" spans="1:28">
      <c r="C29" s="3"/>
      <c r="D29" s="3"/>
      <c r="E29" s="3"/>
      <c r="F29" s="3"/>
      <c r="G29" s="3"/>
      <c r="O29" s="12"/>
      <c r="R29" s="14"/>
      <c r="U29" s="12"/>
      <c r="X29" s="13"/>
      <c r="AA29" s="12"/>
    </row>
    <row r="30" spans="1:28">
      <c r="B30" s="3"/>
      <c r="C30" s="3"/>
      <c r="D30" s="3"/>
      <c r="E30" s="3"/>
      <c r="F30" s="3"/>
      <c r="G30" s="3"/>
      <c r="O30" s="12"/>
      <c r="R30" s="14"/>
      <c r="U30" s="12"/>
      <c r="X30" s="13"/>
      <c r="AA30" s="12"/>
    </row>
    <row r="31" spans="1:28" ht="17.25">
      <c r="A31" s="11" t="s">
        <v>46</v>
      </c>
      <c r="B31" s="5">
        <v>5</v>
      </c>
      <c r="C31" s="5"/>
      <c r="D31" s="3" t="s">
        <v>10</v>
      </c>
      <c r="E31" s="3"/>
      <c r="F31" s="3"/>
      <c r="G31" s="3"/>
      <c r="L31" s="2">
        <v>5</v>
      </c>
      <c r="M31" s="2"/>
      <c r="O31" s="12"/>
      <c r="R31" s="14"/>
      <c r="U31" s="12"/>
      <c r="X31" s="13"/>
      <c r="AA31" s="12"/>
    </row>
    <row r="32" spans="1:28">
      <c r="A32" t="s">
        <v>45</v>
      </c>
      <c r="B32" s="3">
        <v>1.25</v>
      </c>
      <c r="C32" s="3"/>
      <c r="D32" s="3" t="s">
        <v>8</v>
      </c>
      <c r="E32" s="4">
        <f>QUARTILE(J4:J13,1)</f>
        <v>1.95E-2</v>
      </c>
      <c r="F32" s="3"/>
      <c r="G32" s="3"/>
    </row>
    <row r="33" spans="1:13">
      <c r="A33" t="s">
        <v>44</v>
      </c>
      <c r="B33" s="3">
        <v>2.5</v>
      </c>
      <c r="C33" s="3"/>
      <c r="D33" s="3" t="s">
        <v>5</v>
      </c>
      <c r="E33" s="4">
        <f>QUARTILE(J4:J13,2)</f>
        <v>4.2599999999999999E-2</v>
      </c>
      <c r="F33" s="3"/>
      <c r="G33" s="3"/>
    </row>
    <row r="34" spans="1:13">
      <c r="A34" t="s">
        <v>43</v>
      </c>
      <c r="B34" s="3">
        <v>3.75</v>
      </c>
      <c r="C34" s="3"/>
      <c r="D34" s="3" t="s">
        <v>2</v>
      </c>
      <c r="E34" s="4">
        <f>QUARTILE(J4:J13,3)</f>
        <v>0.1217</v>
      </c>
      <c r="F34" s="3"/>
      <c r="G34" s="3"/>
    </row>
    <row r="35" spans="1:13">
      <c r="A35" t="s">
        <v>42</v>
      </c>
      <c r="B35" s="3">
        <v>5</v>
      </c>
      <c r="C35" s="3"/>
      <c r="D35" s="3"/>
      <c r="E35" s="4"/>
      <c r="F35" s="3"/>
      <c r="G35" s="3"/>
    </row>
    <row r="36" spans="1:13">
      <c r="B36" s="3"/>
      <c r="C36" s="3"/>
      <c r="D36" s="3"/>
      <c r="E36" s="4"/>
      <c r="F36" s="3"/>
      <c r="G36" s="3"/>
    </row>
    <row r="37" spans="1:13" ht="17.25">
      <c r="A37" s="11" t="s">
        <v>41</v>
      </c>
      <c r="B37" s="5">
        <v>5</v>
      </c>
      <c r="C37" s="5"/>
      <c r="D37" s="3" t="s">
        <v>10</v>
      </c>
      <c r="E37" s="4"/>
      <c r="F37" s="3"/>
      <c r="G37" s="3"/>
      <c r="L37" s="2">
        <v>5</v>
      </c>
      <c r="M37" s="2"/>
    </row>
    <row r="38" spans="1:13">
      <c r="A38" t="s">
        <v>40</v>
      </c>
      <c r="B38" s="3">
        <v>1.25</v>
      </c>
      <c r="C38" s="3"/>
      <c r="D38" s="3" t="s">
        <v>8</v>
      </c>
      <c r="E38" s="4">
        <f>QUARTILE(L4:L13,1)</f>
        <v>-0.12355000000000001</v>
      </c>
      <c r="F38" s="3"/>
      <c r="G38" s="3"/>
    </row>
    <row r="39" spans="1:13">
      <c r="A39" t="s">
        <v>39</v>
      </c>
      <c r="B39" s="3">
        <v>2.5</v>
      </c>
      <c r="C39" s="3"/>
      <c r="D39" s="3" t="s">
        <v>5</v>
      </c>
      <c r="E39" s="4">
        <f>QUARTILE(L4:L13,2)</f>
        <v>1.6250000000000001E-2</v>
      </c>
      <c r="F39" s="3"/>
      <c r="G39" s="3"/>
    </row>
    <row r="40" spans="1:13">
      <c r="A40" t="s">
        <v>38</v>
      </c>
      <c r="B40" s="3">
        <v>3.75</v>
      </c>
      <c r="C40" s="3"/>
      <c r="D40" s="3" t="s">
        <v>2</v>
      </c>
      <c r="E40" s="4">
        <f>QUARTILE(L4:L13,3)</f>
        <v>0.83489999999999998</v>
      </c>
      <c r="F40" s="3"/>
      <c r="G40" s="3"/>
    </row>
    <row r="41" spans="1:13">
      <c r="A41" t="s">
        <v>37</v>
      </c>
      <c r="B41" s="3">
        <v>5</v>
      </c>
      <c r="C41" s="3"/>
      <c r="D41" s="3"/>
      <c r="E41" s="3"/>
      <c r="F41" s="3"/>
      <c r="G41" s="3"/>
    </row>
    <row r="42" spans="1:13">
      <c r="B42" s="3"/>
      <c r="C42" s="3"/>
      <c r="D42" s="3"/>
      <c r="E42" s="3"/>
      <c r="F42" s="3"/>
      <c r="G42" s="3"/>
    </row>
    <row r="43" spans="1:13" ht="34.5">
      <c r="A43" s="6" t="s">
        <v>36</v>
      </c>
      <c r="B43" s="5">
        <v>4.5</v>
      </c>
      <c r="C43" s="5"/>
      <c r="D43" s="3" t="s">
        <v>10</v>
      </c>
      <c r="E43" s="5"/>
      <c r="F43" s="5">
        <v>0.5</v>
      </c>
      <c r="G43" s="5"/>
      <c r="H43" s="7"/>
      <c r="I43" s="7"/>
      <c r="J43" s="7"/>
      <c r="K43" s="7"/>
      <c r="L43" s="5">
        <v>5</v>
      </c>
      <c r="M43" s="5"/>
    </row>
    <row r="44" spans="1:13">
      <c r="A44" t="s">
        <v>35</v>
      </c>
      <c r="B44" s="3">
        <v>4.5</v>
      </c>
      <c r="C44" s="3"/>
      <c r="D44" s="3" t="s">
        <v>8</v>
      </c>
      <c r="E44" s="3">
        <f>QUARTILE(N4:N13,1)</f>
        <v>-55.564999999999998</v>
      </c>
      <c r="F44" s="502" t="s">
        <v>7</v>
      </c>
      <c r="G44" s="502"/>
      <c r="H44">
        <v>0.5</v>
      </c>
    </row>
    <row r="45" spans="1:13">
      <c r="A45" t="s">
        <v>34</v>
      </c>
      <c r="B45" s="3">
        <v>3.375</v>
      </c>
      <c r="C45" s="3"/>
      <c r="D45" s="3" t="s">
        <v>5</v>
      </c>
      <c r="E45" s="3">
        <f>QUARTILE(N4:N13,2)</f>
        <v>-0.88500000000000023</v>
      </c>
      <c r="F45" s="502" t="s">
        <v>4</v>
      </c>
      <c r="G45" s="502"/>
      <c r="H45">
        <v>0</v>
      </c>
    </row>
    <row r="46" spans="1:13">
      <c r="A46" t="s">
        <v>33</v>
      </c>
      <c r="B46" s="3">
        <v>2.25</v>
      </c>
      <c r="C46" s="3"/>
      <c r="D46" s="3" t="s">
        <v>2</v>
      </c>
      <c r="E46" s="3">
        <f>QUARTILE(N4:N13,3)</f>
        <v>22.555</v>
      </c>
      <c r="F46" s="3"/>
      <c r="G46" s="3"/>
    </row>
    <row r="47" spans="1:13">
      <c r="A47" t="s">
        <v>32</v>
      </c>
      <c r="B47" s="3">
        <v>1.125</v>
      </c>
      <c r="C47" s="3"/>
      <c r="D47" s="3"/>
      <c r="E47" s="3"/>
      <c r="F47" s="3"/>
      <c r="G47" s="3"/>
    </row>
    <row r="48" spans="1:13">
      <c r="B48" s="3"/>
      <c r="C48" s="3"/>
      <c r="D48" s="3"/>
      <c r="E48" s="3"/>
      <c r="F48" s="3"/>
      <c r="G48" s="3"/>
    </row>
    <row r="49" spans="1:13" ht="34.5">
      <c r="A49" s="6" t="s">
        <v>31</v>
      </c>
      <c r="B49" s="5">
        <v>9</v>
      </c>
      <c r="C49" s="5"/>
      <c r="D49" s="5"/>
      <c r="E49" s="5"/>
      <c r="F49" s="5">
        <v>1</v>
      </c>
      <c r="G49" s="5"/>
      <c r="H49" s="7"/>
      <c r="I49" s="7"/>
      <c r="J49" s="7"/>
      <c r="K49" s="7"/>
      <c r="L49" s="5">
        <v>10</v>
      </c>
      <c r="M49" s="5"/>
    </row>
    <row r="50" spans="1:13">
      <c r="A50" t="s">
        <v>30</v>
      </c>
      <c r="B50" s="3">
        <v>2.25</v>
      </c>
      <c r="C50" s="3"/>
      <c r="D50" s="3"/>
      <c r="E50" s="3"/>
      <c r="F50" s="502" t="s">
        <v>7</v>
      </c>
      <c r="G50" s="502"/>
      <c r="H50">
        <v>1</v>
      </c>
    </row>
    <row r="51" spans="1:13">
      <c r="A51" t="s">
        <v>29</v>
      </c>
      <c r="B51" s="3">
        <v>4.5</v>
      </c>
      <c r="C51" s="3"/>
      <c r="D51" s="3"/>
      <c r="E51" s="3"/>
      <c r="F51" s="502" t="s">
        <v>4</v>
      </c>
      <c r="G51" s="502"/>
      <c r="H51">
        <v>0</v>
      </c>
    </row>
    <row r="52" spans="1:13">
      <c r="A52" t="s">
        <v>28</v>
      </c>
      <c r="B52" s="3">
        <v>6.75</v>
      </c>
      <c r="C52" s="3"/>
      <c r="D52" s="3"/>
      <c r="E52" s="3"/>
      <c r="F52" s="3"/>
      <c r="G52" s="3"/>
    </row>
    <row r="53" spans="1:13">
      <c r="A53" t="s">
        <v>27</v>
      </c>
      <c r="B53" s="3">
        <v>9</v>
      </c>
      <c r="C53" s="3"/>
      <c r="D53" s="3"/>
      <c r="E53" s="3"/>
      <c r="F53" s="3"/>
      <c r="G53" s="3"/>
    </row>
    <row r="54" spans="1:13">
      <c r="B54" s="3"/>
      <c r="C54" s="3"/>
      <c r="D54" s="3"/>
      <c r="E54" s="3"/>
      <c r="F54" s="3"/>
      <c r="G54" s="3"/>
    </row>
    <row r="55" spans="1:13" ht="34.5">
      <c r="A55" s="6" t="s">
        <v>26</v>
      </c>
      <c r="B55" s="9">
        <v>13.5</v>
      </c>
      <c r="C55" s="9"/>
      <c r="D55" s="10"/>
      <c r="E55" s="10"/>
      <c r="F55" s="9">
        <v>1.5</v>
      </c>
      <c r="G55" s="9"/>
      <c r="H55" s="8"/>
      <c r="I55" s="7"/>
      <c r="J55" s="7"/>
      <c r="K55" s="7"/>
      <c r="L55" s="5">
        <v>15</v>
      </c>
      <c r="M55" s="5"/>
    </row>
    <row r="56" spans="1:13">
      <c r="A56" t="s">
        <v>25</v>
      </c>
      <c r="B56" s="3">
        <v>3.375</v>
      </c>
      <c r="C56" s="3"/>
      <c r="D56" s="3"/>
      <c r="E56" s="3"/>
      <c r="F56" s="502" t="s">
        <v>7</v>
      </c>
      <c r="G56" s="502"/>
      <c r="H56">
        <v>1.5</v>
      </c>
    </row>
    <row r="57" spans="1:13">
      <c r="A57" t="s">
        <v>24</v>
      </c>
      <c r="B57" s="3">
        <v>6.75</v>
      </c>
      <c r="C57" s="3"/>
      <c r="D57" s="3"/>
      <c r="E57" s="3"/>
      <c r="F57" s="502" t="s">
        <v>4</v>
      </c>
      <c r="G57" s="502"/>
      <c r="H57">
        <v>0</v>
      </c>
    </row>
    <row r="58" spans="1:13">
      <c r="A58" t="s">
        <v>23</v>
      </c>
      <c r="B58" s="3">
        <v>10.125</v>
      </c>
      <c r="C58" s="3"/>
      <c r="D58" s="3"/>
      <c r="E58" s="3"/>
      <c r="F58" s="3"/>
      <c r="G58" s="3"/>
    </row>
    <row r="59" spans="1:13">
      <c r="A59" t="s">
        <v>22</v>
      </c>
      <c r="B59" s="3">
        <v>13.5</v>
      </c>
      <c r="C59" s="3"/>
      <c r="D59" s="3"/>
      <c r="E59" s="3"/>
      <c r="F59" s="3"/>
      <c r="G59" s="3"/>
    </row>
    <row r="60" spans="1:13">
      <c r="B60" s="3"/>
      <c r="C60" s="3"/>
      <c r="D60" s="3"/>
      <c r="E60" s="3"/>
      <c r="F60" s="3"/>
      <c r="G60" s="3"/>
    </row>
    <row r="61" spans="1:13" ht="17.25">
      <c r="A61" s="6" t="s">
        <v>21</v>
      </c>
      <c r="B61" s="9">
        <v>13.5</v>
      </c>
      <c r="C61" s="9"/>
      <c r="D61" s="10"/>
      <c r="E61" s="10"/>
      <c r="F61" s="9">
        <v>1.5</v>
      </c>
      <c r="G61" s="9"/>
      <c r="H61" s="8"/>
      <c r="I61" s="7"/>
      <c r="J61" s="7"/>
      <c r="K61" s="7"/>
      <c r="L61" s="5">
        <v>15</v>
      </c>
      <c r="M61" s="5"/>
    </row>
    <row r="62" spans="1:13">
      <c r="A62" t="s">
        <v>20</v>
      </c>
      <c r="B62" s="3">
        <v>3.375</v>
      </c>
      <c r="C62" s="3"/>
      <c r="D62" s="3"/>
      <c r="E62" s="3"/>
      <c r="F62" s="3" t="s">
        <v>7</v>
      </c>
      <c r="G62" s="3"/>
      <c r="H62">
        <v>1.5</v>
      </c>
    </row>
    <row r="63" spans="1:13">
      <c r="A63" t="s">
        <v>19</v>
      </c>
      <c r="B63" s="3">
        <v>6.75</v>
      </c>
      <c r="C63" s="3"/>
      <c r="D63" s="3"/>
      <c r="E63" s="3"/>
      <c r="F63" s="3" t="s">
        <v>4</v>
      </c>
      <c r="G63" s="3"/>
      <c r="H63">
        <v>0</v>
      </c>
    </row>
    <row r="64" spans="1:13">
      <c r="A64" t="s">
        <v>18</v>
      </c>
      <c r="B64" s="3">
        <v>10.125</v>
      </c>
      <c r="C64" s="3"/>
      <c r="D64" s="3"/>
      <c r="E64" s="3"/>
      <c r="F64" s="3"/>
      <c r="G64" s="3"/>
    </row>
    <row r="65" spans="1:13">
      <c r="A65" t="s">
        <v>17</v>
      </c>
      <c r="B65" s="3">
        <v>13.5</v>
      </c>
      <c r="C65" s="3"/>
      <c r="D65" s="3"/>
      <c r="E65" s="3"/>
      <c r="F65" s="3"/>
      <c r="G65" s="3"/>
    </row>
    <row r="66" spans="1:13">
      <c r="B66" s="3"/>
      <c r="C66" s="3"/>
      <c r="D66" s="3"/>
      <c r="E66" s="3"/>
      <c r="F66" s="3"/>
      <c r="G66" s="3"/>
    </row>
    <row r="67" spans="1:13" ht="34.5">
      <c r="A67" s="6" t="s">
        <v>16</v>
      </c>
      <c r="B67" s="5">
        <v>4.5</v>
      </c>
      <c r="C67" s="5"/>
      <c r="D67" s="3" t="s">
        <v>10</v>
      </c>
      <c r="E67" s="5"/>
      <c r="F67" s="5">
        <v>0.5</v>
      </c>
      <c r="G67" s="5"/>
      <c r="H67" s="7"/>
      <c r="I67" s="7"/>
      <c r="J67" s="7"/>
      <c r="K67" s="7"/>
      <c r="L67" s="5">
        <v>5</v>
      </c>
      <c r="M67" s="5"/>
    </row>
    <row r="68" spans="1:13">
      <c r="A68" t="s">
        <v>15</v>
      </c>
      <c r="B68" s="3">
        <v>1.125</v>
      </c>
      <c r="C68" s="3"/>
      <c r="D68" s="3" t="s">
        <v>8</v>
      </c>
      <c r="E68" s="3">
        <f>QUARTILE(AD4:AD13,1)</f>
        <v>1.1065750000000001</v>
      </c>
      <c r="F68" s="502" t="s">
        <v>7</v>
      </c>
      <c r="G68" s="502"/>
      <c r="H68">
        <v>0.5</v>
      </c>
    </row>
    <row r="69" spans="1:13">
      <c r="A69" t="s">
        <v>14</v>
      </c>
      <c r="B69" s="3">
        <v>2.25</v>
      </c>
      <c r="C69" s="3"/>
      <c r="D69" s="3" t="s">
        <v>5</v>
      </c>
      <c r="E69" s="3">
        <f>QUARTILE(AD4:AD13,2)</f>
        <v>1.2873000000000001</v>
      </c>
      <c r="F69" s="502" t="s">
        <v>4</v>
      </c>
      <c r="G69" s="502"/>
      <c r="H69">
        <v>0</v>
      </c>
    </row>
    <row r="70" spans="1:13">
      <c r="A70" t="s">
        <v>13</v>
      </c>
      <c r="B70" s="3">
        <v>3.375</v>
      </c>
      <c r="C70" s="3"/>
      <c r="D70" s="3" t="s">
        <v>2</v>
      </c>
      <c r="E70" s="3">
        <f>QUARTILE(AD4:AD13,3)</f>
        <v>1.3871897500000001</v>
      </c>
      <c r="F70" s="3"/>
      <c r="G70" s="3"/>
    </row>
    <row r="71" spans="1:13">
      <c r="A71" t="s">
        <v>12</v>
      </c>
      <c r="B71" s="3">
        <v>4.5</v>
      </c>
      <c r="C71" s="3"/>
      <c r="D71" s="3"/>
      <c r="E71" s="3"/>
      <c r="F71" s="3"/>
      <c r="G71" s="3"/>
    </row>
    <row r="72" spans="1:13">
      <c r="B72" s="3"/>
      <c r="C72" s="3"/>
      <c r="D72" s="3"/>
      <c r="E72" s="3"/>
      <c r="F72" s="3"/>
      <c r="G72" s="3"/>
    </row>
    <row r="73" spans="1:13" ht="17.25">
      <c r="A73" s="6" t="s">
        <v>11</v>
      </c>
      <c r="B73" s="5">
        <v>9</v>
      </c>
      <c r="C73" s="5"/>
      <c r="D73" s="3" t="s">
        <v>10</v>
      </c>
      <c r="E73" s="5"/>
      <c r="F73" s="5">
        <v>1</v>
      </c>
      <c r="G73" s="5"/>
      <c r="H73" s="5"/>
      <c r="I73" s="5"/>
      <c r="J73" s="5"/>
      <c r="K73" s="5"/>
      <c r="L73" s="5">
        <v>10</v>
      </c>
      <c r="M73" s="5"/>
    </row>
    <row r="74" spans="1:13">
      <c r="A74" t="s">
        <v>9</v>
      </c>
      <c r="B74" s="3">
        <v>2.25</v>
      </c>
      <c r="C74" s="3"/>
      <c r="D74" s="3" t="s">
        <v>8</v>
      </c>
      <c r="E74" s="4">
        <f>QUARTILE(AH4:AH13,1)</f>
        <v>0.32152500000000001</v>
      </c>
      <c r="F74" s="502" t="s">
        <v>7</v>
      </c>
      <c r="G74" s="502"/>
      <c r="H74">
        <v>1</v>
      </c>
    </row>
    <row r="75" spans="1:13">
      <c r="A75" t="s">
        <v>6</v>
      </c>
      <c r="B75" s="3">
        <v>4.5</v>
      </c>
      <c r="C75" s="3"/>
      <c r="D75" s="3" t="s">
        <v>5</v>
      </c>
      <c r="E75" s="4">
        <f>QUARTILE(AH4:AH13,2)</f>
        <v>0.76295000000000002</v>
      </c>
      <c r="F75" s="502" t="s">
        <v>4</v>
      </c>
      <c r="G75" s="502"/>
      <c r="H75">
        <v>0</v>
      </c>
    </row>
    <row r="76" spans="1:13">
      <c r="A76" t="s">
        <v>3</v>
      </c>
      <c r="B76" s="3">
        <v>6.75</v>
      </c>
      <c r="C76" s="3"/>
      <c r="D76" s="3" t="s">
        <v>2</v>
      </c>
      <c r="E76" s="4">
        <f>QUARTILE(AH4:AH13,3)</f>
        <v>0.95589999999999997</v>
      </c>
      <c r="F76" s="3"/>
      <c r="G76" s="3"/>
    </row>
    <row r="77" spans="1:13">
      <c r="A77" t="s">
        <v>1</v>
      </c>
      <c r="B77" s="3">
        <v>9</v>
      </c>
      <c r="C77" s="3"/>
      <c r="D77" s="3"/>
      <c r="E77" s="3"/>
      <c r="F77" s="3"/>
      <c r="G77" s="3"/>
    </row>
    <row r="78" spans="1:13">
      <c r="B78" s="3"/>
      <c r="C78" s="3"/>
      <c r="D78" s="3"/>
      <c r="E78" s="3"/>
      <c r="F78" s="3"/>
      <c r="G78" s="3"/>
    </row>
    <row r="79" spans="1:13" ht="18.75">
      <c r="B79" s="504" t="s">
        <v>0</v>
      </c>
      <c r="C79" s="504"/>
      <c r="D79" s="504"/>
      <c r="E79" s="504"/>
      <c r="F79" s="504"/>
      <c r="G79" s="504"/>
      <c r="H79" s="504"/>
      <c r="I79" s="504"/>
      <c r="J79" s="504"/>
      <c r="K79" s="2"/>
      <c r="L79" s="1">
        <f>SUM(L18:L76)</f>
        <v>100</v>
      </c>
      <c r="M79" s="1"/>
    </row>
  </sheetData>
  <mergeCells count="12">
    <mergeCell ref="F74:G74"/>
    <mergeCell ref="F75:G75"/>
    <mergeCell ref="A1:AJ2"/>
    <mergeCell ref="B79:J79"/>
    <mergeCell ref="F44:G44"/>
    <mergeCell ref="F45:G45"/>
    <mergeCell ref="F50:G50"/>
    <mergeCell ref="F51:G51"/>
    <mergeCell ref="F56:G56"/>
    <mergeCell ref="F57:G57"/>
    <mergeCell ref="F68:G68"/>
    <mergeCell ref="F69:G69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87"/>
  <sheetViews>
    <sheetView zoomScale="80" zoomScaleNormal="80" workbookViewId="0">
      <selection activeCell="A4" sqref="A4:A13"/>
    </sheetView>
  </sheetViews>
  <sheetFormatPr defaultRowHeight="15"/>
  <cols>
    <col min="1" max="1" width="20.85546875" bestFit="1" customWidth="1"/>
    <col min="4" max="4" width="15" customWidth="1"/>
    <col min="5" max="5" width="10.5703125" customWidth="1"/>
    <col min="6" max="6" width="16.7109375" bestFit="1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7.140625" bestFit="1" customWidth="1"/>
    <col min="15" max="15" width="8.5703125" customWidth="1"/>
    <col min="16" max="16" width="9.4257812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7109375" bestFit="1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8">
      <c r="A1" s="503" t="s">
        <v>334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8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8" ht="45" customHeight="1">
      <c r="A3" s="3" t="s">
        <v>97</v>
      </c>
      <c r="B3" s="3" t="s">
        <v>96</v>
      </c>
      <c r="C3" s="57" t="s">
        <v>93</v>
      </c>
      <c r="D3" s="57" t="s">
        <v>95</v>
      </c>
      <c r="E3" s="57" t="s">
        <v>93</v>
      </c>
      <c r="F3" s="3" t="s">
        <v>94</v>
      </c>
      <c r="G3" s="57" t="s">
        <v>83</v>
      </c>
      <c r="H3" s="57" t="s">
        <v>84</v>
      </c>
      <c r="I3" s="57" t="s">
        <v>93</v>
      </c>
      <c r="J3" s="3" t="s">
        <v>92</v>
      </c>
      <c r="K3" s="57" t="s">
        <v>83</v>
      </c>
      <c r="L3" s="58" t="s">
        <v>91</v>
      </c>
      <c r="M3" s="57" t="s">
        <v>83</v>
      </c>
      <c r="N3" s="57" t="s">
        <v>90</v>
      </c>
      <c r="O3" s="57" t="s">
        <v>83</v>
      </c>
      <c r="P3" s="57" t="s">
        <v>84</v>
      </c>
      <c r="Q3" s="57" t="s">
        <v>83</v>
      </c>
      <c r="R3" s="57" t="s">
        <v>89</v>
      </c>
      <c r="S3" s="57" t="s">
        <v>83</v>
      </c>
      <c r="T3" s="57" t="s">
        <v>84</v>
      </c>
      <c r="U3" s="57" t="s">
        <v>83</v>
      </c>
      <c r="V3" s="57" t="s">
        <v>88</v>
      </c>
      <c r="W3" s="57" t="s">
        <v>83</v>
      </c>
      <c r="X3" s="57" t="s">
        <v>84</v>
      </c>
      <c r="Y3" s="57" t="s">
        <v>83</v>
      </c>
      <c r="Z3" s="57" t="s">
        <v>87</v>
      </c>
      <c r="AA3" s="57" t="s">
        <v>83</v>
      </c>
      <c r="AB3" s="57" t="s">
        <v>84</v>
      </c>
      <c r="AC3" s="57" t="s">
        <v>83</v>
      </c>
      <c r="AD3" s="57" t="s">
        <v>86</v>
      </c>
      <c r="AE3" s="57" t="s">
        <v>83</v>
      </c>
      <c r="AF3" s="57" t="s">
        <v>84</v>
      </c>
      <c r="AG3" s="57" t="s">
        <v>83</v>
      </c>
      <c r="AH3" s="57" t="s">
        <v>85</v>
      </c>
      <c r="AI3" s="57" t="s">
        <v>83</v>
      </c>
      <c r="AJ3" s="57" t="s">
        <v>84</v>
      </c>
      <c r="AK3" s="57" t="s">
        <v>83</v>
      </c>
      <c r="AL3" s="57" t="s">
        <v>82</v>
      </c>
    </row>
    <row r="4" spans="1:38">
      <c r="A4" s="32" t="s">
        <v>333</v>
      </c>
      <c r="B4" s="14">
        <v>0.3</v>
      </c>
      <c r="C4" s="14">
        <f t="shared" ref="C4:C13" si="0">IF(B4&gt;4,$B$20,IF(B4&lt;=-5.025,$B$17,IF(AND(B4&gt;-5.025,B4&lt;=0.5),$B$18,$B$19)))</f>
        <v>6.75</v>
      </c>
      <c r="D4" s="3">
        <v>0</v>
      </c>
      <c r="E4" s="3" t="str">
        <f t="shared" ref="E4:E13" si="1">IF(D4=0,"0",$H$17)</f>
        <v>0</v>
      </c>
      <c r="F4" s="14">
        <v>-13.8</v>
      </c>
      <c r="G4" s="14">
        <f t="shared" ref="G4:G13" si="2">IF(F4&gt;32.3,$B$26,IF(F4&lt;=-1.1,$B$23,IF(AND(F4&gt;-1.1,F4&lt;=4.5),$B$24,$B$25)))</f>
        <v>3.375</v>
      </c>
      <c r="H4" s="3">
        <v>0</v>
      </c>
      <c r="I4" s="3" t="str">
        <f t="shared" ref="I4:I13" si="3">IF(H4=0,"0",$H$23)</f>
        <v>0</v>
      </c>
      <c r="J4" s="12">
        <v>7.0400000000000004E-2</v>
      </c>
      <c r="K4" s="56">
        <f t="shared" ref="K4:K13" si="4">IF(J4&gt;QUARTILE($J$4:$J$13,3),$B$33,IF(AND(J4&lt;=QUARTILE($J$4:$J$13,3),J4&gt;QUARTILE($J$4:$J$13,2)),$B$32,IF(AND(J4&lt;=QUARTILE($J$4:$J$13,2),J4&gt;QUARTILE($J$4:$J$13,1)),$B$31,$B$30)))</f>
        <v>3.75</v>
      </c>
      <c r="L4" s="12">
        <v>-0.24610000000000001</v>
      </c>
      <c r="M4" s="56">
        <f t="shared" ref="M4:M13" si="5">IF(L4&gt;QUARTILE($L$4:$L$13,3),$B$39,IF(AND(L4&lt;=QUARTILE($L$4:$L$13,3),L4&gt;QUARTILE($L$4:$L$13,2)),$B$38,IF(AND(L4&lt;=QUARTILE($L$4:$L$14,2),L4&gt;QUARTILE($L$4:$L$13,1)),$B$37,$B$36)))</f>
        <v>5</v>
      </c>
      <c r="N4" s="14">
        <v>224.8</v>
      </c>
      <c r="O4" s="55">
        <f t="shared" ref="O4:O13" si="6">IF(N4&gt;QUARTILE($N$4:$N$13,3),$B$45,IF(AND(N4&lt;=QUARTILE($N$4:$N$13,3),N4&gt;QUARTILE($N$4:$N$13,2)),$B$44,IF(AND(N4&lt;=QUARTILE($N$4:$N$13,2),N4&gt;QUARTILE($N$4:$N$13,1)),$B$43,$B$42)))</f>
        <v>2.25</v>
      </c>
      <c r="P4" s="14">
        <v>1</v>
      </c>
      <c r="Q4" s="14">
        <f t="shared" ref="Q4:Q13" si="7">IF(P4=0,"0",$H$42)</f>
        <v>0.5</v>
      </c>
      <c r="R4" s="12">
        <v>8.0699999999999994E-2</v>
      </c>
      <c r="S4" s="56">
        <f t="shared" ref="S4:S13" si="8">IF(R4&gt;23.06%,$B$51,IF(R4&lt;-7%,$B$48,IF(AND(R4&gt;-7%,R4&lt;7.1%),$B$49,$B$50)))</f>
        <v>6.75</v>
      </c>
      <c r="T4" s="22">
        <v>0</v>
      </c>
      <c r="U4" s="56" t="str">
        <f t="shared" ref="U4:U13" si="9">IF(T4=0,"0",$H$48)</f>
        <v>0</v>
      </c>
      <c r="V4" s="12">
        <v>2.76E-2</v>
      </c>
      <c r="W4" s="55">
        <f t="shared" ref="W4:W13" si="10">IF(V4&gt;8.7475%,$B$57,IF(V4&lt;=-15.405%,$B$54,IF(AND(V4&gt;-15.405%,V4&lt;=1.81%),$B$55,$B$56)))</f>
        <v>10.125</v>
      </c>
      <c r="X4" s="22">
        <v>0</v>
      </c>
      <c r="Y4" s="56" t="str">
        <f t="shared" ref="Y4:Y13" si="11">IF(X4=0,"0",$H$54)</f>
        <v>0</v>
      </c>
      <c r="Z4" s="12">
        <v>-7.4300000000000005E-2</v>
      </c>
      <c r="AA4" s="55">
        <f t="shared" ref="AA4:AA13" si="12">IF(Z4&gt;4.25%,$B$63,IF(Z4&lt;=-24.57%,$B$60,IF(AND(Z4&gt;-24.57%,Z4&lt;=0.57%),$B$61,$B$62)))</f>
        <v>6.75</v>
      </c>
      <c r="AB4" s="22">
        <v>0</v>
      </c>
      <c r="AC4" s="56" t="str">
        <f t="shared" ref="AC4:AC13" si="13">IF(AB4=0,"0",$H$60)</f>
        <v>0</v>
      </c>
      <c r="AD4" s="13">
        <v>1.0284</v>
      </c>
      <c r="AE4" s="13">
        <f t="shared" ref="AE4:AE13" si="14">IF(AD4&gt;QUARTILE($AD$4:$AD$13,3),$B$69,IF(AND(AD4&lt;=QUARTILE($AD$4:$AD$13,3),AD4&gt;QUARTILE($AD$4:$AD$13,2)),$B$68,IF(AND(AD4&lt;=QUARTILE($AD$4:$AD$13,2),AD4&gt;QUARTILE($AD$4:$AD$13,1)),$B$67,$B$66)))</f>
        <v>1.0625</v>
      </c>
      <c r="AF4" s="22">
        <v>0</v>
      </c>
      <c r="AG4" s="13" t="str">
        <f t="shared" ref="AG4:AG13" si="15">IF(AF4=0,"0","0,5")</f>
        <v>0</v>
      </c>
      <c r="AH4" s="12">
        <v>8.8000000000000005E-3</v>
      </c>
      <c r="AI4" s="55">
        <f>IF(AH4&gt;QUARTILE($AH$4:$AH$13,3),$B$75,IF(AND(AH4&lt;=QUARTILE($AH$4:$AH$13,3),AH4&gt;QUARTILE($AH$4:$AH$13,2)),$B$74,IF(AND(AH4&lt;=QUARTILE(AH4:$AH$13,2),AH4&gt;QUARTILE($AH$4:$AH$13,1)),$B$73,$B$72)))</f>
        <v>2.125</v>
      </c>
      <c r="AJ4" s="3">
        <v>0</v>
      </c>
      <c r="AK4" s="3" t="str">
        <f t="shared" ref="AK4:AK13" si="16">IF(AJ4=0,"0","1,5")</f>
        <v>0</v>
      </c>
      <c r="AL4" s="10">
        <f t="shared" ref="AL4:AL13" si="17">C4+E4+G4+I4+K4+M4+O4+Q4+S4+U4+W4+Y4+AA4+AC4+AE4+AG4+AI4+AK4</f>
        <v>48.4375</v>
      </c>
    </row>
    <row r="5" spans="1:38">
      <c r="A5" s="32" t="s">
        <v>332</v>
      </c>
      <c r="B5" s="14">
        <v>3.7</v>
      </c>
      <c r="C5" s="14">
        <f t="shared" si="0"/>
        <v>10.125</v>
      </c>
      <c r="D5" s="3">
        <v>0</v>
      </c>
      <c r="E5" s="3" t="str">
        <f t="shared" si="1"/>
        <v>0</v>
      </c>
      <c r="F5" s="14">
        <v>4.0999999999999996</v>
      </c>
      <c r="G5" s="14">
        <f t="shared" si="2"/>
        <v>6.75</v>
      </c>
      <c r="H5" s="3">
        <v>0</v>
      </c>
      <c r="I5" s="3" t="str">
        <f t="shared" si="3"/>
        <v>0</v>
      </c>
      <c r="J5" s="12">
        <v>2.3800000000000002E-2</v>
      </c>
      <c r="K5" s="56">
        <f t="shared" si="4"/>
        <v>2.5</v>
      </c>
      <c r="L5" s="12">
        <v>-0.40810000000000002</v>
      </c>
      <c r="M5" s="56">
        <f t="shared" si="5"/>
        <v>3.75</v>
      </c>
      <c r="N5" s="14">
        <v>116.12</v>
      </c>
      <c r="O5" s="55">
        <f t="shared" si="6"/>
        <v>4.5</v>
      </c>
      <c r="P5" s="14">
        <v>0</v>
      </c>
      <c r="Q5" s="14" t="str">
        <f t="shared" si="7"/>
        <v>0</v>
      </c>
      <c r="R5" s="12">
        <v>9.9099999999999994E-2</v>
      </c>
      <c r="S5" s="56">
        <f t="shared" si="8"/>
        <v>6.75</v>
      </c>
      <c r="T5" s="22">
        <v>0</v>
      </c>
      <c r="U5" s="56" t="str">
        <f t="shared" si="9"/>
        <v>0</v>
      </c>
      <c r="V5" s="12">
        <v>4.5499999999999999E-2</v>
      </c>
      <c r="W5" s="55">
        <f t="shared" si="10"/>
        <v>10.125</v>
      </c>
      <c r="X5" s="22">
        <v>0</v>
      </c>
      <c r="Y5" s="56" t="str">
        <f t="shared" si="11"/>
        <v>0</v>
      </c>
      <c r="Z5" s="12">
        <v>1.8800000000000001E-2</v>
      </c>
      <c r="AA5" s="55">
        <f t="shared" si="12"/>
        <v>10.125</v>
      </c>
      <c r="AB5" s="22">
        <v>0</v>
      </c>
      <c r="AC5" s="56" t="str">
        <f t="shared" si="13"/>
        <v>0</v>
      </c>
      <c r="AD5" s="13">
        <v>1.0477000000000001</v>
      </c>
      <c r="AE5" s="13">
        <f t="shared" si="14"/>
        <v>3.1875</v>
      </c>
      <c r="AF5" s="22">
        <v>0</v>
      </c>
      <c r="AG5" s="13" t="str">
        <f t="shared" si="15"/>
        <v>0</v>
      </c>
      <c r="AH5" s="12">
        <v>6.2700000000000006E-2</v>
      </c>
      <c r="AI5" s="55">
        <f>IF(AH5&gt;QUARTILE($AH$4:$AH$13,3),$B$75,IF(AND(AH5&lt;=QUARTILE($AH$4:$AH$13,3),AH5&gt;QUARTILE($AH$4:$AH$13,2)),$B$74,IF(AND(AH5&lt;=QUARTILE(AH5:$AH$13,2),AH5&gt;QUARTILE($AH$4:$AH$13,1)),$B$73,$B$72)))</f>
        <v>8.5</v>
      </c>
      <c r="AJ5" s="3">
        <v>0</v>
      </c>
      <c r="AK5" s="3" t="str">
        <f t="shared" si="16"/>
        <v>0</v>
      </c>
      <c r="AL5" s="10">
        <f t="shared" si="17"/>
        <v>66.3125</v>
      </c>
    </row>
    <row r="6" spans="1:38">
      <c r="A6" s="32" t="s">
        <v>331</v>
      </c>
      <c r="B6" s="14">
        <v>0.9</v>
      </c>
      <c r="C6" s="14">
        <f t="shared" si="0"/>
        <v>10.125</v>
      </c>
      <c r="D6" s="3">
        <v>0</v>
      </c>
      <c r="E6" s="3" t="str">
        <f t="shared" si="1"/>
        <v>0</v>
      </c>
      <c r="F6" s="14">
        <v>0.6</v>
      </c>
      <c r="G6" s="14">
        <f t="shared" si="2"/>
        <v>6.75</v>
      </c>
      <c r="H6" s="3">
        <v>0</v>
      </c>
      <c r="I6" s="3" t="str">
        <f t="shared" si="3"/>
        <v>0</v>
      </c>
      <c r="J6" s="12">
        <v>3.0000000000000001E-3</v>
      </c>
      <c r="K6" s="56">
        <f t="shared" si="4"/>
        <v>1.25</v>
      </c>
      <c r="L6" s="12">
        <v>-0.85629999999999995</v>
      </c>
      <c r="M6" s="56">
        <f t="shared" si="5"/>
        <v>1.25</v>
      </c>
      <c r="N6" s="14">
        <v>-2.65</v>
      </c>
      <c r="O6" s="55">
        <f t="shared" si="6"/>
        <v>4.5</v>
      </c>
      <c r="P6" s="14">
        <v>0</v>
      </c>
      <c r="Q6" s="14" t="str">
        <f t="shared" si="7"/>
        <v>0</v>
      </c>
      <c r="R6" s="12">
        <v>2.9499999999999998E-2</v>
      </c>
      <c r="S6" s="56">
        <f t="shared" si="8"/>
        <v>4.5</v>
      </c>
      <c r="T6" s="22">
        <v>0</v>
      </c>
      <c r="U6" s="56" t="str">
        <f t="shared" si="9"/>
        <v>0</v>
      </c>
      <c r="V6" s="12">
        <v>7.6E-3</v>
      </c>
      <c r="W6" s="55">
        <f t="shared" si="10"/>
        <v>6.75</v>
      </c>
      <c r="X6" s="22">
        <v>0</v>
      </c>
      <c r="Y6" s="56" t="str">
        <f t="shared" si="11"/>
        <v>0</v>
      </c>
      <c r="Z6" s="12">
        <v>2.3999999999999998E-3</v>
      </c>
      <c r="AA6" s="55">
        <f t="shared" si="12"/>
        <v>6.75</v>
      </c>
      <c r="AB6" s="22">
        <v>0</v>
      </c>
      <c r="AC6" s="56" t="str">
        <f t="shared" si="13"/>
        <v>0</v>
      </c>
      <c r="AD6" s="13">
        <v>1.0077</v>
      </c>
      <c r="AE6" s="13">
        <f t="shared" si="14"/>
        <v>1.0625</v>
      </c>
      <c r="AF6" s="22">
        <v>0</v>
      </c>
      <c r="AG6" s="13" t="str">
        <f t="shared" si="15"/>
        <v>0</v>
      </c>
      <c r="AH6" s="12">
        <v>1.95E-2</v>
      </c>
      <c r="AI6" s="55">
        <f>IF(AH6&gt;QUARTILE($AH$4:$AH$13,3),$B$75,IF(AND(AH6&lt;=QUARTILE($AH$4:$AH$13,3),AH6&gt;QUARTILE($AH$4:$AH$13,2)),$B$74,IF(AND(AH6&lt;=QUARTILE(AH6:$AH$13,2),AH6&gt;QUARTILE($AH$4:$AH$13,1)),$B$73,$B$72)))</f>
        <v>2.125</v>
      </c>
      <c r="AJ6" s="3">
        <v>0</v>
      </c>
      <c r="AK6" s="3" t="str">
        <f t="shared" si="16"/>
        <v>0</v>
      </c>
      <c r="AL6" s="10">
        <f t="shared" si="17"/>
        <v>45.0625</v>
      </c>
    </row>
    <row r="7" spans="1:38">
      <c r="A7" s="32" t="s">
        <v>330</v>
      </c>
      <c r="B7" s="33">
        <v>3.7</v>
      </c>
      <c r="C7" s="14">
        <f t="shared" si="0"/>
        <v>10.125</v>
      </c>
      <c r="D7" s="3">
        <v>1</v>
      </c>
      <c r="E7" s="3">
        <f t="shared" si="1"/>
        <v>1.5</v>
      </c>
      <c r="F7" s="33">
        <v>0.5</v>
      </c>
      <c r="G7" s="14">
        <f t="shared" si="2"/>
        <v>6.75</v>
      </c>
      <c r="H7" s="3">
        <v>0</v>
      </c>
      <c r="I7" s="3" t="str">
        <f t="shared" si="3"/>
        <v>0</v>
      </c>
      <c r="J7" s="12">
        <v>0.1484</v>
      </c>
      <c r="K7" s="56">
        <f t="shared" si="4"/>
        <v>5</v>
      </c>
      <c r="L7" s="12">
        <v>-0.1109</v>
      </c>
      <c r="M7" s="56">
        <f t="shared" si="5"/>
        <v>5</v>
      </c>
      <c r="N7" s="14">
        <v>262.12</v>
      </c>
      <c r="O7" s="55">
        <f t="shared" si="6"/>
        <v>1.125</v>
      </c>
      <c r="P7" s="14">
        <v>1</v>
      </c>
      <c r="Q7" s="14">
        <f t="shared" si="7"/>
        <v>0.5</v>
      </c>
      <c r="R7" s="12">
        <v>0.1472</v>
      </c>
      <c r="S7" s="56">
        <f t="shared" si="8"/>
        <v>6.75</v>
      </c>
      <c r="T7" s="22">
        <v>1</v>
      </c>
      <c r="U7" s="56">
        <f t="shared" si="9"/>
        <v>1</v>
      </c>
      <c r="V7" s="12">
        <v>9.0499999999999997E-2</v>
      </c>
      <c r="W7" s="55">
        <f t="shared" si="10"/>
        <v>13.5</v>
      </c>
      <c r="X7" s="22">
        <v>0</v>
      </c>
      <c r="Y7" s="56" t="str">
        <f t="shared" si="11"/>
        <v>0</v>
      </c>
      <c r="Z7" s="12">
        <v>2.5999999999999999E-3</v>
      </c>
      <c r="AA7" s="55">
        <f t="shared" si="12"/>
        <v>6.75</v>
      </c>
      <c r="AB7" s="22">
        <v>0</v>
      </c>
      <c r="AC7" s="56" t="str">
        <f t="shared" si="13"/>
        <v>0</v>
      </c>
      <c r="AD7" s="13">
        <v>1.0995999999999999</v>
      </c>
      <c r="AE7" s="13">
        <f t="shared" si="14"/>
        <v>4.25</v>
      </c>
      <c r="AF7" s="22">
        <v>0</v>
      </c>
      <c r="AG7" s="13" t="str">
        <f t="shared" si="15"/>
        <v>0</v>
      </c>
      <c r="AH7" s="12">
        <v>0.14460000000000001</v>
      </c>
      <c r="AI7" s="55">
        <f>IF(AH7&gt;QUARTILE($AH$4:$AH$13,3),$B$75,IF(AND(AH7&lt;=QUARTILE($AH$4:$AH$13,3),AH7&gt;QUARTILE($AH$4:$AH$13,2)),$B$74,IF(AND(AH7&lt;=QUARTILE(AH7:$AH$13,2),AH7&gt;QUARTILE($AH$4:$AH$13,1)),$B$73,$B$72)))</f>
        <v>8.5</v>
      </c>
      <c r="AJ7" s="3">
        <v>0</v>
      </c>
      <c r="AK7" s="3" t="str">
        <f t="shared" si="16"/>
        <v>0</v>
      </c>
      <c r="AL7" s="10">
        <f t="shared" si="17"/>
        <v>70.75</v>
      </c>
    </row>
    <row r="8" spans="1:38">
      <c r="A8" s="32" t="s">
        <v>329</v>
      </c>
      <c r="B8" s="14">
        <v>-0.91</v>
      </c>
      <c r="C8" s="14">
        <f t="shared" si="0"/>
        <v>6.75</v>
      </c>
      <c r="D8" s="3">
        <v>0</v>
      </c>
      <c r="E8" s="3" t="str">
        <f t="shared" si="1"/>
        <v>0</v>
      </c>
      <c r="F8" s="14">
        <v>-2.4</v>
      </c>
      <c r="G8" s="14">
        <f t="shared" si="2"/>
        <v>3.375</v>
      </c>
      <c r="H8" s="3">
        <v>0</v>
      </c>
      <c r="I8" s="3" t="str">
        <f t="shared" si="3"/>
        <v>0</v>
      </c>
      <c r="J8" s="12">
        <v>0.26850000000000002</v>
      </c>
      <c r="K8" s="56">
        <f t="shared" si="4"/>
        <v>5</v>
      </c>
      <c r="L8" s="12">
        <v>-2.2149000000000001</v>
      </c>
      <c r="M8" s="56">
        <f t="shared" si="5"/>
        <v>1.25</v>
      </c>
      <c r="N8" s="14">
        <v>173.23</v>
      </c>
      <c r="O8" s="55">
        <f t="shared" si="6"/>
        <v>3.375</v>
      </c>
      <c r="P8" s="14">
        <v>0</v>
      </c>
      <c r="Q8" s="14" t="str">
        <f t="shared" si="7"/>
        <v>0</v>
      </c>
      <c r="R8" s="12">
        <v>0.14860000000000001</v>
      </c>
      <c r="S8" s="56">
        <f t="shared" si="8"/>
        <v>6.75</v>
      </c>
      <c r="T8" s="22">
        <v>0</v>
      </c>
      <c r="U8" s="56" t="str">
        <f t="shared" si="9"/>
        <v>0</v>
      </c>
      <c r="V8" s="12">
        <v>7.9699999999999993E-2</v>
      </c>
      <c r="W8" s="55">
        <f t="shared" si="10"/>
        <v>10.125</v>
      </c>
      <c r="X8" s="22">
        <v>0</v>
      </c>
      <c r="Y8" s="56" t="str">
        <f t="shared" si="11"/>
        <v>0</v>
      </c>
      <c r="Z8" s="12">
        <v>-2.7799999999999998E-2</v>
      </c>
      <c r="AA8" s="55">
        <f t="shared" si="12"/>
        <v>6.75</v>
      </c>
      <c r="AB8" s="22">
        <v>0</v>
      </c>
      <c r="AC8" s="56" t="str">
        <f t="shared" si="13"/>
        <v>0</v>
      </c>
      <c r="AD8" s="13">
        <v>1.0866</v>
      </c>
      <c r="AE8" s="13">
        <f t="shared" si="14"/>
        <v>4.25</v>
      </c>
      <c r="AF8" s="22">
        <v>0</v>
      </c>
      <c r="AG8" s="13" t="str">
        <f t="shared" si="15"/>
        <v>0</v>
      </c>
      <c r="AH8" s="12">
        <v>4.7E-2</v>
      </c>
      <c r="AI8" s="55">
        <f>IF(AH8&gt;QUARTILE($AH$4:$AH$13,3),$B$75,IF(AND(AH8&lt;=QUARTILE($AH$4:$AH$13,3),AH8&gt;QUARTILE($AH$4:$AH$13,2)),$B$74,IF(AND(AH8&lt;=QUARTILE(AH8:$AH$13,2),AH8&gt;QUARTILE($AH$4:$AH$13,1)),$B$73,$B$72)))</f>
        <v>6.375</v>
      </c>
      <c r="AJ8" s="3">
        <v>0</v>
      </c>
      <c r="AK8" s="3" t="str">
        <f t="shared" si="16"/>
        <v>0</v>
      </c>
      <c r="AL8" s="10">
        <f t="shared" si="17"/>
        <v>54</v>
      </c>
    </row>
    <row r="9" spans="1:38">
      <c r="A9" s="32" t="s">
        <v>328</v>
      </c>
      <c r="B9" s="14">
        <v>2.9</v>
      </c>
      <c r="C9" s="14">
        <f t="shared" si="0"/>
        <v>10.125</v>
      </c>
      <c r="D9" s="3">
        <v>1</v>
      </c>
      <c r="E9" s="3">
        <f t="shared" si="1"/>
        <v>1.5</v>
      </c>
      <c r="F9" s="14">
        <v>2.2999999999999998</v>
      </c>
      <c r="G9" s="14">
        <f t="shared" si="2"/>
        <v>6.75</v>
      </c>
      <c r="H9" s="3">
        <v>0</v>
      </c>
      <c r="I9" s="3" t="str">
        <f t="shared" si="3"/>
        <v>0</v>
      </c>
      <c r="J9" s="12">
        <v>1.34E-2</v>
      </c>
      <c r="K9" s="56">
        <f t="shared" si="4"/>
        <v>1.25</v>
      </c>
      <c r="L9" s="12">
        <v>1.3338000000000001</v>
      </c>
      <c r="M9" s="56">
        <f t="shared" si="5"/>
        <v>5</v>
      </c>
      <c r="N9" s="14">
        <v>227.27</v>
      </c>
      <c r="O9" s="55">
        <f t="shared" si="6"/>
        <v>2.25</v>
      </c>
      <c r="P9" s="14">
        <v>0</v>
      </c>
      <c r="Q9" s="14" t="str">
        <f t="shared" si="7"/>
        <v>0</v>
      </c>
      <c r="R9" s="12">
        <v>0.1016</v>
      </c>
      <c r="S9" s="56">
        <f t="shared" si="8"/>
        <v>6.75</v>
      </c>
      <c r="T9" s="22">
        <v>1</v>
      </c>
      <c r="U9" s="56">
        <f t="shared" si="9"/>
        <v>1</v>
      </c>
      <c r="V9" s="12">
        <v>3.4299999999999997E-2</v>
      </c>
      <c r="W9" s="55">
        <f t="shared" si="10"/>
        <v>10.125</v>
      </c>
      <c r="X9" s="22">
        <v>1</v>
      </c>
      <c r="Y9" s="56">
        <f t="shared" si="11"/>
        <v>1.5</v>
      </c>
      <c r="Z9" s="12">
        <v>1.9199999999999998E-2</v>
      </c>
      <c r="AA9" s="55">
        <f t="shared" si="12"/>
        <v>10.125</v>
      </c>
      <c r="AB9" s="22">
        <v>1</v>
      </c>
      <c r="AC9" s="56">
        <f t="shared" si="13"/>
        <v>1.5</v>
      </c>
      <c r="AD9" s="13">
        <v>1.0356000000000001</v>
      </c>
      <c r="AE9" s="13">
        <f t="shared" si="14"/>
        <v>2.125</v>
      </c>
      <c r="AF9" s="22">
        <v>1</v>
      </c>
      <c r="AG9" s="13" t="str">
        <f t="shared" si="15"/>
        <v>0,5</v>
      </c>
      <c r="AH9" s="12">
        <v>4.6899999999999997E-2</v>
      </c>
      <c r="AI9" s="55">
        <f>IF(AH9&gt;QUARTILE($AH$4:$AH$13,3),$B$75,IF(AND(AH9&lt;=QUARTILE($AH$4:$AH$13,3),AH9&gt;QUARTILE($AH$4:$AH$13,2)),$B$74,IF(AND(AH9&lt;=QUARTILE(AH9:$AH$13,2),AH9&gt;QUARTILE($AH$4:$AH$13,1)),$B$73,$B$72)))</f>
        <v>6.375</v>
      </c>
      <c r="AJ9" s="3">
        <v>1</v>
      </c>
      <c r="AK9" s="3" t="str">
        <f t="shared" si="16"/>
        <v>1,5</v>
      </c>
      <c r="AL9" s="10">
        <f t="shared" si="17"/>
        <v>68.375</v>
      </c>
    </row>
    <row r="10" spans="1:38">
      <c r="A10" s="32" t="s">
        <v>327</v>
      </c>
      <c r="B10" s="14">
        <v>2.5</v>
      </c>
      <c r="C10" s="14">
        <f t="shared" si="0"/>
        <v>10.125</v>
      </c>
      <c r="D10" s="3">
        <v>0</v>
      </c>
      <c r="E10" s="3" t="str">
        <f t="shared" si="1"/>
        <v>0</v>
      </c>
      <c r="F10" s="14">
        <v>3</v>
      </c>
      <c r="G10" s="14">
        <f t="shared" si="2"/>
        <v>6.75</v>
      </c>
      <c r="H10" s="3">
        <v>0</v>
      </c>
      <c r="I10" s="3" t="str">
        <f t="shared" si="3"/>
        <v>0</v>
      </c>
      <c r="J10" s="12">
        <v>6.2700000000000006E-2</v>
      </c>
      <c r="K10" s="56">
        <f t="shared" si="4"/>
        <v>3.75</v>
      </c>
      <c r="L10" s="12">
        <v>-0.66490000000000005</v>
      </c>
      <c r="M10" s="56">
        <f t="shared" si="5"/>
        <v>2.5</v>
      </c>
      <c r="N10" s="14">
        <v>299.27</v>
      </c>
      <c r="O10" s="55">
        <f t="shared" si="6"/>
        <v>1.125</v>
      </c>
      <c r="P10" s="14">
        <v>0</v>
      </c>
      <c r="Q10" s="14" t="str">
        <f t="shared" si="7"/>
        <v>0</v>
      </c>
      <c r="R10" s="12">
        <v>5.1700000000000003E-2</v>
      </c>
      <c r="S10" s="56">
        <f t="shared" si="8"/>
        <v>4.5</v>
      </c>
      <c r="T10" s="22">
        <v>0</v>
      </c>
      <c r="U10" s="56" t="str">
        <f t="shared" si="9"/>
        <v>0</v>
      </c>
      <c r="V10" s="12">
        <v>3.85E-2</v>
      </c>
      <c r="W10" s="55">
        <f t="shared" si="10"/>
        <v>10.125</v>
      </c>
      <c r="X10" s="22">
        <v>0</v>
      </c>
      <c r="Y10" s="56" t="str">
        <f t="shared" si="11"/>
        <v>0</v>
      </c>
      <c r="Z10" s="12">
        <v>3.7400000000000003E-2</v>
      </c>
      <c r="AA10" s="55">
        <f t="shared" si="12"/>
        <v>10.125</v>
      </c>
      <c r="AB10" s="22">
        <v>0</v>
      </c>
      <c r="AC10" s="56" t="str">
        <f t="shared" si="13"/>
        <v>0</v>
      </c>
      <c r="AD10" s="13">
        <v>1.2092000000000001</v>
      </c>
      <c r="AE10" s="13">
        <f t="shared" si="14"/>
        <v>4.25</v>
      </c>
      <c r="AF10" s="22">
        <v>1</v>
      </c>
      <c r="AG10" s="13" t="str">
        <f t="shared" si="15"/>
        <v>0,5</v>
      </c>
      <c r="AH10" s="12">
        <v>3.15E-2</v>
      </c>
      <c r="AI10" s="55">
        <f>IF(AH10&gt;QUARTILE($AH$4:$AH$13,3),$B$75,IF(AND(AH10&lt;=QUARTILE($AH$4:$AH$13,3),AH10&gt;QUARTILE($AH$4:$AH$13,2)),$B$74,IF(AND(AH10&lt;=QUARTILE(AH10:$AH$13,2),AH10&gt;QUARTILE($AH$4:$AH$13,1)),$B$73,$B$72)))</f>
        <v>4.25</v>
      </c>
      <c r="AJ10" s="3">
        <v>0</v>
      </c>
      <c r="AK10" s="3" t="str">
        <f t="shared" si="16"/>
        <v>0</v>
      </c>
      <c r="AL10" s="10">
        <f t="shared" si="17"/>
        <v>58</v>
      </c>
    </row>
    <row r="11" spans="1:38">
      <c r="A11" s="32" t="s">
        <v>326</v>
      </c>
      <c r="B11" s="14">
        <v>1.6</v>
      </c>
      <c r="C11" s="14">
        <f t="shared" si="0"/>
        <v>10.125</v>
      </c>
      <c r="D11" s="3">
        <v>0</v>
      </c>
      <c r="E11" s="3" t="str">
        <f t="shared" si="1"/>
        <v>0</v>
      </c>
      <c r="F11" s="14">
        <v>0.6</v>
      </c>
      <c r="G11" s="14">
        <f t="shared" si="2"/>
        <v>6.75</v>
      </c>
      <c r="H11" s="3">
        <v>0</v>
      </c>
      <c r="I11" s="3" t="str">
        <f t="shared" si="3"/>
        <v>0</v>
      </c>
      <c r="J11" s="12">
        <v>-2.9600000000000001E-2</v>
      </c>
      <c r="K11" s="56">
        <f t="shared" si="4"/>
        <v>1.25</v>
      </c>
      <c r="L11" s="12">
        <v>-0.84840000000000004</v>
      </c>
      <c r="M11" s="56">
        <f t="shared" si="5"/>
        <v>2.5</v>
      </c>
      <c r="N11" s="14">
        <v>199.96</v>
      </c>
      <c r="O11" s="55">
        <f t="shared" si="6"/>
        <v>3.375</v>
      </c>
      <c r="P11" s="14">
        <v>1</v>
      </c>
      <c r="Q11" s="14">
        <f t="shared" si="7"/>
        <v>0.5</v>
      </c>
      <c r="R11" s="12">
        <v>0.1084</v>
      </c>
      <c r="S11" s="56">
        <f t="shared" si="8"/>
        <v>6.75</v>
      </c>
      <c r="T11" s="22">
        <v>0</v>
      </c>
      <c r="U11" s="56" t="str">
        <f t="shared" si="9"/>
        <v>0</v>
      </c>
      <c r="V11" s="12">
        <v>4.36E-2</v>
      </c>
      <c r="W11" s="55">
        <f t="shared" si="10"/>
        <v>10.125</v>
      </c>
      <c r="X11" s="22">
        <v>0</v>
      </c>
      <c r="Y11" s="56" t="str">
        <f t="shared" si="11"/>
        <v>0</v>
      </c>
      <c r="Z11" s="12">
        <v>6.7000000000000002E-3</v>
      </c>
      <c r="AA11" s="55">
        <f t="shared" si="12"/>
        <v>10.125</v>
      </c>
      <c r="AB11" s="22">
        <v>0</v>
      </c>
      <c r="AC11" s="56" t="str">
        <f t="shared" si="13"/>
        <v>0</v>
      </c>
      <c r="AD11" s="13">
        <v>1.0456000000000001</v>
      </c>
      <c r="AE11" s="13">
        <f t="shared" si="14"/>
        <v>3.1875</v>
      </c>
      <c r="AF11" s="22">
        <v>0</v>
      </c>
      <c r="AG11" s="13" t="str">
        <f t="shared" si="15"/>
        <v>0</v>
      </c>
      <c r="AH11" s="12">
        <v>3.1800000000000002E-2</v>
      </c>
      <c r="AI11" s="55">
        <f>IF(AH11&gt;QUARTILE($AH$4:$AH$13,3),$B$75,IF(AND(AH11&lt;=QUARTILE($AH$4:$AH$13,3),AH11&gt;QUARTILE($AH$4:$AH$13,2)),$B$74,IF(AND(AH11&lt;=QUARTILE(AH11:$AH$13,2),AH11&gt;QUARTILE($AH$4:$AH$13,1)),$B$73,$B$72)))</f>
        <v>4.25</v>
      </c>
      <c r="AJ11" s="3">
        <v>0</v>
      </c>
      <c r="AK11" s="3" t="str">
        <f t="shared" si="16"/>
        <v>0</v>
      </c>
      <c r="AL11" s="10">
        <f t="shared" si="17"/>
        <v>58.9375</v>
      </c>
    </row>
    <row r="12" spans="1:38">
      <c r="A12" s="32" t="s">
        <v>325</v>
      </c>
      <c r="B12" s="14">
        <v>2.2999999999999998</v>
      </c>
      <c r="C12" s="14">
        <f t="shared" si="0"/>
        <v>10.125</v>
      </c>
      <c r="D12" s="3">
        <v>0</v>
      </c>
      <c r="E12" s="3" t="str">
        <f t="shared" si="1"/>
        <v>0</v>
      </c>
      <c r="F12" s="14">
        <v>9.6999999999999993</v>
      </c>
      <c r="G12" s="14">
        <f t="shared" si="2"/>
        <v>10.125</v>
      </c>
      <c r="H12" s="3">
        <v>0</v>
      </c>
      <c r="I12" s="3" t="str">
        <f t="shared" si="3"/>
        <v>0</v>
      </c>
      <c r="J12" s="12">
        <v>2.9700000000000001E-2</v>
      </c>
      <c r="K12" s="56">
        <f t="shared" si="4"/>
        <v>2.5</v>
      </c>
      <c r="L12" s="12">
        <v>-0.49309999999999998</v>
      </c>
      <c r="M12" s="56">
        <f t="shared" si="5"/>
        <v>3.75</v>
      </c>
      <c r="N12" s="14">
        <v>119.62</v>
      </c>
      <c r="O12" s="55">
        <f t="shared" si="6"/>
        <v>4.5</v>
      </c>
      <c r="P12" s="14">
        <v>0</v>
      </c>
      <c r="Q12" s="14" t="str">
        <f t="shared" si="7"/>
        <v>0</v>
      </c>
      <c r="R12" s="12">
        <v>5.3600000000000002E-2</v>
      </c>
      <c r="S12" s="56">
        <f t="shared" si="8"/>
        <v>4.5</v>
      </c>
      <c r="T12" s="22">
        <v>0</v>
      </c>
      <c r="U12" s="56" t="str">
        <f t="shared" si="9"/>
        <v>0</v>
      </c>
      <c r="V12" s="12">
        <v>3.7999999999999999E-2</v>
      </c>
      <c r="W12" s="55">
        <f t="shared" si="10"/>
        <v>10.125</v>
      </c>
      <c r="X12" s="22">
        <v>0</v>
      </c>
      <c r="Y12" s="56" t="str">
        <f t="shared" si="11"/>
        <v>0</v>
      </c>
      <c r="Z12" s="12">
        <v>2.1999999999999999E-2</v>
      </c>
      <c r="AA12" s="55">
        <f t="shared" si="12"/>
        <v>10.125</v>
      </c>
      <c r="AB12" s="22">
        <v>0</v>
      </c>
      <c r="AC12" s="56" t="str">
        <f t="shared" si="13"/>
        <v>0</v>
      </c>
      <c r="AD12" s="13">
        <v>1.0395000000000001</v>
      </c>
      <c r="AE12" s="13">
        <f t="shared" si="14"/>
        <v>2.125</v>
      </c>
      <c r="AF12" s="22">
        <v>0</v>
      </c>
      <c r="AG12" s="13" t="str">
        <f t="shared" si="15"/>
        <v>0</v>
      </c>
      <c r="AH12" s="12">
        <v>8.9499999999999996E-2</v>
      </c>
      <c r="AI12" s="55">
        <f>IF(AH12&gt;QUARTILE($AH$4:$AH$13,3),$B$75,IF(AND(AH12&lt;=QUARTILE($AH$4:$AH$13,3),AH12&gt;QUARTILE($AH$4:$AH$13,2)),$B$74,IF(AND(AH12&lt;=QUARTILE(AH12:$AH$13,2),AH12&gt;QUARTILE($AH$4:$AH$13,1)),$B$73,$B$72)))</f>
        <v>8.5</v>
      </c>
      <c r="AJ12" s="3">
        <v>0</v>
      </c>
      <c r="AK12" s="3" t="str">
        <f t="shared" si="16"/>
        <v>0</v>
      </c>
      <c r="AL12" s="10">
        <f t="shared" si="17"/>
        <v>66.375</v>
      </c>
    </row>
    <row r="13" spans="1:38">
      <c r="A13" s="32" t="s">
        <v>324</v>
      </c>
      <c r="B13" s="14">
        <v>-1.3</v>
      </c>
      <c r="C13" s="14">
        <f t="shared" si="0"/>
        <v>6.75</v>
      </c>
      <c r="D13" s="3">
        <v>0</v>
      </c>
      <c r="E13" s="3" t="str">
        <f t="shared" si="1"/>
        <v>0</v>
      </c>
      <c r="F13" s="14">
        <v>-4.0999999999999996</v>
      </c>
      <c r="G13" s="14">
        <f t="shared" si="2"/>
        <v>3.375</v>
      </c>
      <c r="H13" s="3">
        <v>0</v>
      </c>
      <c r="I13" s="3" t="str">
        <f t="shared" si="3"/>
        <v>0</v>
      </c>
      <c r="J13" s="12">
        <v>0.78939999999999999</v>
      </c>
      <c r="K13" s="56">
        <f t="shared" si="4"/>
        <v>5</v>
      </c>
      <c r="L13" s="12">
        <v>-2.7544</v>
      </c>
      <c r="M13" s="56">
        <f t="shared" si="5"/>
        <v>1.25</v>
      </c>
      <c r="N13" s="14">
        <v>369.94</v>
      </c>
      <c r="O13" s="55">
        <f t="shared" si="6"/>
        <v>1.125</v>
      </c>
      <c r="P13" s="14">
        <v>0</v>
      </c>
      <c r="Q13" s="14" t="str">
        <f t="shared" si="7"/>
        <v>0</v>
      </c>
      <c r="R13" s="12">
        <v>5.1200000000000002E-2</v>
      </c>
      <c r="S13" s="56">
        <f t="shared" si="8"/>
        <v>4.5</v>
      </c>
      <c r="T13" s="22">
        <v>0</v>
      </c>
      <c r="U13" s="56" t="str">
        <f t="shared" si="9"/>
        <v>0</v>
      </c>
      <c r="V13" s="12">
        <v>-3.5999999999999997E-2</v>
      </c>
      <c r="W13" s="55">
        <f t="shared" si="10"/>
        <v>6.75</v>
      </c>
      <c r="X13" s="22">
        <v>0</v>
      </c>
      <c r="Y13" s="56" t="str">
        <f t="shared" si="11"/>
        <v>0</v>
      </c>
      <c r="Z13" s="12">
        <v>-5.9900000000000002E-2</v>
      </c>
      <c r="AA13" s="55">
        <f t="shared" si="12"/>
        <v>6.75</v>
      </c>
      <c r="AB13" s="22">
        <v>0</v>
      </c>
      <c r="AC13" s="56" t="str">
        <f t="shared" si="13"/>
        <v>0</v>
      </c>
      <c r="AD13" s="13">
        <v>0.96519999999999995</v>
      </c>
      <c r="AE13" s="13">
        <f t="shared" si="14"/>
        <v>1.0625</v>
      </c>
      <c r="AF13" s="22">
        <v>0</v>
      </c>
      <c r="AG13" s="13" t="str">
        <f t="shared" si="15"/>
        <v>0</v>
      </c>
      <c r="AH13" s="12">
        <v>-7.1000000000000004E-3</v>
      </c>
      <c r="AI13" s="55">
        <f>IF(AH13&gt;QUARTILE($AH$4:$AH$13,3),$B$75,IF(AND(AH13&lt;=QUARTILE($AH$4:$AH$13,3),AH13&gt;QUARTILE($AH$4:$AH$13,2)),$B$74,IF(AND(AH13&lt;=QUARTILE(AH13:$AH$13,2),AH13&gt;QUARTILE($AH$4:$AH$13,1)),$B$73,$B$72)))</f>
        <v>2.125</v>
      </c>
      <c r="AJ13" s="3">
        <v>0</v>
      </c>
      <c r="AK13" s="3" t="str">
        <f t="shared" si="16"/>
        <v>0</v>
      </c>
      <c r="AL13" s="10">
        <f t="shared" si="17"/>
        <v>38.6875</v>
      </c>
    </row>
    <row r="14" spans="1:38">
      <c r="B14" s="14"/>
      <c r="C14" s="14"/>
      <c r="D14" s="3"/>
      <c r="E14" s="3"/>
      <c r="F14" s="14"/>
      <c r="G14" s="14"/>
      <c r="H14" s="3"/>
      <c r="I14" s="3"/>
      <c r="J14" s="12"/>
      <c r="K14" s="12"/>
      <c r="L14" s="12"/>
      <c r="M14" s="12"/>
      <c r="N14" s="14"/>
      <c r="O14" s="14"/>
      <c r="P14" s="14"/>
      <c r="Q14" s="14"/>
      <c r="R14" s="12"/>
      <c r="S14" s="12"/>
      <c r="T14" s="22"/>
      <c r="U14" s="12"/>
      <c r="V14" s="12"/>
      <c r="W14" s="12"/>
      <c r="X14" s="22"/>
      <c r="Y14" s="12"/>
      <c r="Z14" s="12"/>
      <c r="AA14" s="12"/>
      <c r="AB14" s="22"/>
      <c r="AC14" s="12"/>
      <c r="AD14" s="13"/>
      <c r="AE14" s="13"/>
      <c r="AF14" s="22"/>
      <c r="AG14" s="13"/>
      <c r="AH14" s="12"/>
      <c r="AI14" s="12"/>
      <c r="AJ14" s="3"/>
      <c r="AK14" s="3"/>
      <c r="AL14" s="10"/>
    </row>
    <row r="15" spans="1:38" ht="18.75">
      <c r="A15" s="17" t="s">
        <v>60</v>
      </c>
      <c r="B15" s="17" t="s">
        <v>59</v>
      </c>
      <c r="C15" s="17"/>
      <c r="D15" s="17"/>
      <c r="E15" s="17"/>
      <c r="F15" s="17" t="s">
        <v>58</v>
      </c>
      <c r="G15" s="17"/>
      <c r="H15" s="16"/>
      <c r="I15" s="16"/>
      <c r="J15" s="16"/>
      <c r="K15" s="16"/>
      <c r="L15" s="16" t="s">
        <v>57</v>
      </c>
      <c r="M15" s="12"/>
      <c r="N15" s="14"/>
      <c r="O15" s="14"/>
      <c r="P15" s="14"/>
      <c r="Q15" s="14"/>
      <c r="R15" s="12"/>
      <c r="S15" s="12"/>
      <c r="T15" s="22"/>
      <c r="U15" s="12"/>
      <c r="V15" s="12"/>
      <c r="W15" s="12"/>
      <c r="X15" s="22"/>
      <c r="Y15" s="12"/>
      <c r="Z15" s="12"/>
      <c r="AA15" s="12"/>
      <c r="AB15" s="22"/>
      <c r="AC15" s="12"/>
      <c r="AD15" s="13"/>
      <c r="AE15" s="13"/>
      <c r="AF15" s="22"/>
      <c r="AG15" s="13"/>
      <c r="AH15" s="12"/>
      <c r="AI15" s="12"/>
      <c r="AJ15" s="3"/>
      <c r="AK15" s="3"/>
      <c r="AL15" s="10"/>
    </row>
    <row r="16" spans="1:38" ht="17.25">
      <c r="A16" s="11" t="s">
        <v>56</v>
      </c>
      <c r="B16" s="9">
        <v>13.5</v>
      </c>
      <c r="C16" s="9"/>
      <c r="D16" s="10"/>
      <c r="E16" s="10"/>
      <c r="F16" s="9">
        <v>1.5</v>
      </c>
      <c r="G16" s="9"/>
      <c r="H16" s="8"/>
      <c r="I16" s="8"/>
      <c r="J16" s="8"/>
      <c r="K16" s="8"/>
      <c r="L16" s="9">
        <v>15</v>
      </c>
      <c r="M16" s="12"/>
      <c r="N16" s="14"/>
      <c r="O16" s="14"/>
      <c r="P16" s="14"/>
      <c r="Q16" s="14"/>
      <c r="R16" s="12"/>
      <c r="S16" s="12"/>
      <c r="T16" s="22"/>
      <c r="U16" s="12"/>
      <c r="V16" s="12"/>
      <c r="W16" s="12"/>
      <c r="X16" s="22"/>
      <c r="Y16" s="12"/>
      <c r="Z16" s="12"/>
      <c r="AA16" s="12"/>
      <c r="AB16" s="22"/>
      <c r="AC16" s="12"/>
      <c r="AD16" s="13"/>
      <c r="AE16" s="13"/>
      <c r="AF16" s="22"/>
      <c r="AG16" s="13"/>
      <c r="AH16" s="12"/>
      <c r="AI16" s="12"/>
      <c r="AJ16" s="3"/>
      <c r="AK16" s="3"/>
      <c r="AL16" s="10"/>
    </row>
    <row r="17" spans="1:38">
      <c r="A17" t="s">
        <v>323</v>
      </c>
      <c r="B17" s="3">
        <v>3.375</v>
      </c>
      <c r="C17" s="3"/>
      <c r="D17" s="3"/>
      <c r="E17" s="3"/>
      <c r="F17" s="3" t="s">
        <v>7</v>
      </c>
      <c r="G17" s="3"/>
      <c r="H17">
        <v>1.5</v>
      </c>
      <c r="M17" s="12"/>
      <c r="N17" s="14"/>
      <c r="O17" s="14"/>
      <c r="P17" s="14"/>
      <c r="Q17" s="14"/>
      <c r="R17" s="12"/>
      <c r="S17" s="12"/>
      <c r="T17" s="22"/>
      <c r="U17" s="12"/>
      <c r="V17" s="12"/>
      <c r="W17" s="12"/>
      <c r="X17" s="22"/>
      <c r="Y17" s="12"/>
      <c r="Z17" s="12"/>
      <c r="AA17" s="12"/>
      <c r="AB17" s="22"/>
      <c r="AC17" s="12"/>
      <c r="AD17" s="13"/>
      <c r="AE17" s="13"/>
      <c r="AF17" s="22"/>
      <c r="AG17" s="13"/>
      <c r="AH17" s="12"/>
      <c r="AI17" s="12"/>
      <c r="AJ17" s="3"/>
      <c r="AK17" s="3"/>
      <c r="AL17" s="10"/>
    </row>
    <row r="18" spans="1:38">
      <c r="A18" t="s">
        <v>322</v>
      </c>
      <c r="B18" s="3">
        <v>6.75</v>
      </c>
      <c r="C18" s="3"/>
      <c r="D18" s="3"/>
      <c r="E18" s="3"/>
      <c r="F18" s="3" t="s">
        <v>4</v>
      </c>
      <c r="G18" s="3"/>
      <c r="H18">
        <v>0</v>
      </c>
      <c r="M18" s="12"/>
      <c r="N18" s="14"/>
      <c r="O18" s="14"/>
      <c r="P18" s="14"/>
      <c r="Q18" s="14"/>
      <c r="R18" s="12"/>
      <c r="S18" s="12"/>
      <c r="T18" s="22"/>
      <c r="U18" s="12"/>
      <c r="V18" s="12"/>
      <c r="W18" s="12"/>
      <c r="X18" s="22"/>
      <c r="Y18" s="12"/>
      <c r="Z18" s="12"/>
      <c r="AA18" s="12"/>
      <c r="AB18" s="22"/>
      <c r="AC18" s="12"/>
      <c r="AD18" s="13"/>
      <c r="AE18" s="13"/>
      <c r="AF18" s="22"/>
      <c r="AG18" s="13"/>
      <c r="AH18" s="12"/>
      <c r="AI18" s="12"/>
      <c r="AJ18" s="3"/>
      <c r="AK18" s="3"/>
      <c r="AL18" s="10"/>
    </row>
    <row r="19" spans="1:38">
      <c r="A19" t="s">
        <v>321</v>
      </c>
      <c r="B19" s="3">
        <v>10.125</v>
      </c>
      <c r="C19" s="3"/>
      <c r="D19" s="3"/>
      <c r="E19" s="3"/>
      <c r="F19" s="3"/>
      <c r="G19" s="3"/>
      <c r="N19" s="14"/>
      <c r="O19" s="14"/>
      <c r="P19" s="14"/>
      <c r="AD19" s="13"/>
      <c r="AH19" s="12"/>
    </row>
    <row r="20" spans="1:38">
      <c r="A20" t="s">
        <v>320</v>
      </c>
      <c r="B20" s="3">
        <v>13.5</v>
      </c>
      <c r="C20" s="3"/>
      <c r="D20" s="3"/>
      <c r="E20" s="3"/>
      <c r="F20" s="3"/>
      <c r="G20" s="3"/>
      <c r="N20" s="14"/>
      <c r="AD20" s="13"/>
      <c r="AH20" s="12"/>
    </row>
    <row r="21" spans="1:38">
      <c r="B21" s="3"/>
      <c r="C21" s="3"/>
      <c r="D21" s="3"/>
      <c r="E21" s="3"/>
      <c r="F21" s="3"/>
      <c r="G21" s="3"/>
      <c r="N21" s="14"/>
      <c r="AD21" s="13"/>
      <c r="AH21" s="12"/>
    </row>
    <row r="22" spans="1:38" ht="17.25">
      <c r="A22" s="11" t="s">
        <v>51</v>
      </c>
      <c r="B22" s="9">
        <v>13.5</v>
      </c>
      <c r="C22" s="9"/>
      <c r="D22" s="10"/>
      <c r="E22" s="10"/>
      <c r="F22" s="9">
        <v>1.5</v>
      </c>
      <c r="G22" s="9"/>
      <c r="H22" s="8"/>
      <c r="N22" s="14"/>
      <c r="AD22" s="13"/>
      <c r="AH22" s="12"/>
    </row>
    <row r="23" spans="1:38">
      <c r="A23" t="s">
        <v>319</v>
      </c>
      <c r="B23" s="3">
        <v>3.375</v>
      </c>
      <c r="C23" s="3"/>
      <c r="D23" s="3"/>
      <c r="E23" s="3"/>
      <c r="F23" s="3" t="s">
        <v>7</v>
      </c>
      <c r="G23" s="3"/>
      <c r="H23">
        <v>1.5</v>
      </c>
      <c r="I23" s="8"/>
      <c r="J23" s="8"/>
      <c r="K23" s="8"/>
      <c r="L23" s="9">
        <v>15</v>
      </c>
      <c r="N23" s="14"/>
      <c r="AD23" s="13"/>
      <c r="AH23" s="12"/>
    </row>
    <row r="24" spans="1:38">
      <c r="A24" t="s">
        <v>318</v>
      </c>
      <c r="B24" s="3">
        <v>6.75</v>
      </c>
      <c r="C24" s="3"/>
      <c r="D24" s="3"/>
      <c r="E24" s="3"/>
      <c r="F24" s="3" t="s">
        <v>4</v>
      </c>
      <c r="G24" s="3"/>
      <c r="H24">
        <v>0</v>
      </c>
      <c r="N24" s="14"/>
      <c r="AD24" s="13"/>
      <c r="AH24" s="12"/>
    </row>
    <row r="25" spans="1:38">
      <c r="A25" t="s">
        <v>317</v>
      </c>
      <c r="B25" s="3">
        <v>10.125</v>
      </c>
      <c r="C25" s="3"/>
      <c r="D25" s="3"/>
      <c r="E25" s="3"/>
      <c r="F25" s="3"/>
      <c r="G25" s="3"/>
      <c r="N25" s="14"/>
      <c r="AD25" s="13"/>
    </row>
    <row r="26" spans="1:38">
      <c r="A26" t="s">
        <v>316</v>
      </c>
      <c r="B26" s="3">
        <v>13.5</v>
      </c>
      <c r="C26" s="3"/>
      <c r="D26" s="3"/>
      <c r="E26" s="3"/>
      <c r="F26" s="3"/>
      <c r="G26" s="3"/>
      <c r="M26" s="9"/>
      <c r="N26" s="12"/>
    </row>
    <row r="27" spans="1:38">
      <c r="C27" s="3"/>
      <c r="D27" s="3"/>
      <c r="E27" s="3"/>
      <c r="F27" s="3"/>
      <c r="G27" s="3"/>
      <c r="N27" s="14"/>
    </row>
    <row r="28" spans="1:38">
      <c r="B28" s="3"/>
      <c r="C28" s="3"/>
      <c r="D28" s="3"/>
      <c r="E28" s="3"/>
      <c r="F28" s="3"/>
      <c r="G28" s="3"/>
    </row>
    <row r="29" spans="1:38" ht="17.25">
      <c r="A29" s="11" t="s">
        <v>46</v>
      </c>
      <c r="B29" s="5">
        <v>5</v>
      </c>
      <c r="C29" s="5"/>
      <c r="D29" s="3" t="s">
        <v>10</v>
      </c>
      <c r="E29" s="3"/>
      <c r="F29" s="3"/>
      <c r="G29" s="3"/>
      <c r="L29" s="2">
        <v>5</v>
      </c>
    </row>
    <row r="30" spans="1:38">
      <c r="A30" t="s">
        <v>315</v>
      </c>
      <c r="B30" s="3">
        <v>1.25</v>
      </c>
      <c r="C30" s="3"/>
      <c r="D30" s="3" t="s">
        <v>8</v>
      </c>
      <c r="E30" s="54">
        <f>QUARTILE(J4:J13,1)</f>
        <v>1.6E-2</v>
      </c>
      <c r="F30" s="3"/>
      <c r="G30" s="3"/>
    </row>
    <row r="31" spans="1:38">
      <c r="A31" t="s">
        <v>314</v>
      </c>
      <c r="B31" s="3">
        <v>2.5</v>
      </c>
      <c r="C31" s="3"/>
      <c r="D31" s="3" t="s">
        <v>5</v>
      </c>
      <c r="E31" s="54">
        <f>QUARTILE(J4:J13,2)</f>
        <v>4.6200000000000005E-2</v>
      </c>
      <c r="F31" s="3"/>
      <c r="G31" s="3"/>
    </row>
    <row r="32" spans="1:38">
      <c r="A32" t="s">
        <v>313</v>
      </c>
      <c r="B32" s="3">
        <v>3.75</v>
      </c>
      <c r="C32" s="3"/>
      <c r="D32" s="3" t="s">
        <v>2</v>
      </c>
      <c r="E32" s="54">
        <f>QUARTILE(J4:J13,3)</f>
        <v>0.12890000000000001</v>
      </c>
      <c r="F32" s="3"/>
      <c r="G32" s="3"/>
    </row>
    <row r="33" spans="1:13">
      <c r="A33" t="s">
        <v>312</v>
      </c>
      <c r="B33" s="3">
        <v>5</v>
      </c>
      <c r="C33" s="3"/>
      <c r="D33" s="3"/>
      <c r="E33" s="3"/>
      <c r="F33" s="3"/>
      <c r="G33" s="3"/>
      <c r="M33" s="9"/>
    </row>
    <row r="34" spans="1:13">
      <c r="B34" s="3"/>
      <c r="C34" s="3"/>
      <c r="D34" s="3"/>
      <c r="E34" s="3"/>
      <c r="F34" s="3"/>
      <c r="G34" s="3"/>
    </row>
    <row r="35" spans="1:13" ht="17.25">
      <c r="A35" s="11" t="s">
        <v>41</v>
      </c>
      <c r="B35" s="5">
        <v>5</v>
      </c>
      <c r="C35" s="5"/>
      <c r="D35" s="3" t="s">
        <v>10</v>
      </c>
      <c r="E35" s="3"/>
      <c r="F35" s="3"/>
      <c r="G35" s="3"/>
      <c r="L35" s="2">
        <v>5</v>
      </c>
    </row>
    <row r="36" spans="1:13">
      <c r="A36" t="s">
        <v>311</v>
      </c>
      <c r="B36" s="3">
        <v>1.25</v>
      </c>
      <c r="C36" s="3"/>
      <c r="D36" s="3" t="s">
        <v>8</v>
      </c>
      <c r="E36" s="3">
        <f>QUARTILE(L4:L13,1)</f>
        <v>-0.854325</v>
      </c>
      <c r="F36" s="3"/>
      <c r="G36" s="3"/>
    </row>
    <row r="37" spans="1:13">
      <c r="A37" t="s">
        <v>310</v>
      </c>
      <c r="B37" s="3">
        <v>2.5</v>
      </c>
      <c r="C37" s="3"/>
      <c r="D37" s="3" t="s">
        <v>5</v>
      </c>
      <c r="E37" s="3">
        <f>QUARTILE(L4:L13,2)</f>
        <v>-0.57899999999999996</v>
      </c>
      <c r="F37" s="3"/>
      <c r="G37" s="3"/>
    </row>
    <row r="38" spans="1:13">
      <c r="A38" t="s">
        <v>309</v>
      </c>
      <c r="B38" s="3">
        <v>3.75</v>
      </c>
      <c r="C38" s="3"/>
      <c r="D38" s="3" t="s">
        <v>2</v>
      </c>
      <c r="E38" s="3">
        <f>QUARTILE(L4:L13,3)</f>
        <v>-0.28660000000000002</v>
      </c>
      <c r="F38" s="3"/>
      <c r="G38" s="3"/>
    </row>
    <row r="39" spans="1:13">
      <c r="A39" t="s">
        <v>308</v>
      </c>
      <c r="B39" s="3">
        <v>5</v>
      </c>
      <c r="C39" s="3"/>
      <c r="D39" s="3"/>
      <c r="E39" s="3"/>
      <c r="F39" s="3"/>
      <c r="G39" s="3"/>
      <c r="M39" s="2"/>
    </row>
    <row r="40" spans="1:13">
      <c r="B40" s="3"/>
      <c r="C40" s="3"/>
      <c r="D40" s="3"/>
      <c r="E40" s="3"/>
      <c r="F40" s="3"/>
      <c r="G40" s="3"/>
    </row>
    <row r="41" spans="1:13" ht="34.5">
      <c r="A41" s="6" t="s">
        <v>36</v>
      </c>
      <c r="B41" s="5">
        <v>4.5</v>
      </c>
      <c r="C41" s="5"/>
      <c r="D41" s="3" t="s">
        <v>10</v>
      </c>
      <c r="E41" s="5"/>
      <c r="F41" s="5">
        <v>0.5</v>
      </c>
      <c r="G41" s="5"/>
      <c r="H41" s="7"/>
      <c r="I41" s="7"/>
      <c r="J41" s="7"/>
      <c r="K41" s="7"/>
      <c r="L41" s="5">
        <v>5</v>
      </c>
    </row>
    <row r="42" spans="1:13">
      <c r="A42" t="s">
        <v>307</v>
      </c>
      <c r="B42" s="3">
        <v>4.5</v>
      </c>
      <c r="C42" s="3"/>
      <c r="D42" s="3" t="s">
        <v>8</v>
      </c>
      <c r="E42" s="3">
        <f>QUARTILE(N4:N13,1)</f>
        <v>133.02250000000001</v>
      </c>
      <c r="F42" s="3" t="s">
        <v>7</v>
      </c>
      <c r="G42" s="3"/>
      <c r="H42">
        <v>0.5</v>
      </c>
    </row>
    <row r="43" spans="1:13">
      <c r="A43" t="s">
        <v>306</v>
      </c>
      <c r="B43" s="3">
        <v>3.375</v>
      </c>
      <c r="C43" s="3"/>
      <c r="D43" s="3" t="s">
        <v>5</v>
      </c>
      <c r="E43" s="3">
        <f>QUARTILE(N4:N13,2)</f>
        <v>212.38</v>
      </c>
      <c r="F43" s="3" t="s">
        <v>4</v>
      </c>
      <c r="G43" s="3"/>
      <c r="H43">
        <v>0</v>
      </c>
    </row>
    <row r="44" spans="1:13">
      <c r="A44" t="s">
        <v>305</v>
      </c>
      <c r="B44" s="3">
        <v>2.25</v>
      </c>
      <c r="C44" s="3"/>
      <c r="D44" s="3" t="s">
        <v>2</v>
      </c>
      <c r="E44" s="3">
        <f>QUARTILE(N4:N13,3)</f>
        <v>253.4075</v>
      </c>
      <c r="F44" s="3"/>
      <c r="G44" s="3"/>
    </row>
    <row r="45" spans="1:13">
      <c r="A45" t="s">
        <v>304</v>
      </c>
      <c r="B45" s="3">
        <v>1.125</v>
      </c>
      <c r="C45" s="3"/>
      <c r="D45" s="3"/>
      <c r="E45" s="3"/>
      <c r="F45" s="3"/>
      <c r="G45" s="3"/>
      <c r="M45" s="2"/>
    </row>
    <row r="46" spans="1:13">
      <c r="B46" s="3"/>
      <c r="C46" s="3"/>
      <c r="D46" s="3"/>
      <c r="E46" s="3"/>
      <c r="F46" s="3"/>
      <c r="G46" s="3"/>
    </row>
    <row r="47" spans="1:13" ht="34.5">
      <c r="A47" s="6" t="s">
        <v>31</v>
      </c>
      <c r="B47" s="5">
        <v>9</v>
      </c>
      <c r="C47" s="5"/>
      <c r="D47" s="5"/>
      <c r="E47" s="5"/>
      <c r="F47" s="5">
        <v>1</v>
      </c>
      <c r="G47" s="5"/>
      <c r="H47" s="7"/>
      <c r="I47" s="7"/>
      <c r="J47" s="7"/>
      <c r="K47" s="7"/>
      <c r="L47" s="5">
        <v>10</v>
      </c>
    </row>
    <row r="48" spans="1:13">
      <c r="A48" t="s">
        <v>303</v>
      </c>
      <c r="B48" s="3">
        <v>2.25</v>
      </c>
      <c r="C48" s="3"/>
      <c r="D48" s="3"/>
      <c r="E48" s="3"/>
      <c r="F48" s="3" t="s">
        <v>7</v>
      </c>
      <c r="G48" s="3"/>
      <c r="H48">
        <v>1</v>
      </c>
    </row>
    <row r="49" spans="1:13">
      <c r="A49" t="s">
        <v>302</v>
      </c>
      <c r="B49" s="3">
        <v>4.5</v>
      </c>
      <c r="C49" s="3"/>
      <c r="D49" s="3"/>
      <c r="E49" s="3"/>
      <c r="F49" s="3" t="s">
        <v>4</v>
      </c>
      <c r="G49" s="3"/>
      <c r="H49">
        <v>0</v>
      </c>
    </row>
    <row r="50" spans="1:13">
      <c r="A50" t="s">
        <v>301</v>
      </c>
      <c r="B50" s="3">
        <v>6.75</v>
      </c>
      <c r="C50" s="3"/>
      <c r="D50" s="3"/>
      <c r="E50" s="3"/>
      <c r="F50" s="3"/>
      <c r="G50" s="3"/>
    </row>
    <row r="51" spans="1:13">
      <c r="A51" t="s">
        <v>300</v>
      </c>
      <c r="B51" s="3">
        <v>9</v>
      </c>
      <c r="C51" s="3"/>
      <c r="D51" s="3"/>
      <c r="E51" s="3"/>
      <c r="F51" s="3"/>
      <c r="G51" s="3"/>
      <c r="M51" s="5"/>
    </row>
    <row r="52" spans="1:13">
      <c r="B52" s="3"/>
      <c r="C52" s="3"/>
      <c r="D52" s="3"/>
      <c r="E52" s="3"/>
      <c r="F52" s="3"/>
      <c r="G52" s="3"/>
    </row>
    <row r="53" spans="1:13" ht="34.5">
      <c r="A53" s="6" t="s">
        <v>26</v>
      </c>
      <c r="B53" s="9">
        <v>13.5</v>
      </c>
      <c r="C53" s="9"/>
      <c r="D53" s="10"/>
      <c r="E53" s="10"/>
      <c r="F53" s="9">
        <v>1.5</v>
      </c>
      <c r="G53" s="9"/>
      <c r="H53" s="8"/>
      <c r="I53" s="7"/>
      <c r="J53" s="7"/>
      <c r="K53" s="7"/>
      <c r="L53" s="5">
        <v>15</v>
      </c>
    </row>
    <row r="54" spans="1:13">
      <c r="A54" t="s">
        <v>299</v>
      </c>
      <c r="B54" s="3">
        <v>3.375</v>
      </c>
      <c r="C54" s="3"/>
      <c r="D54" s="3"/>
      <c r="E54" s="3"/>
      <c r="F54" s="3" t="s">
        <v>7</v>
      </c>
      <c r="G54" s="3"/>
      <c r="H54">
        <v>1.5</v>
      </c>
    </row>
    <row r="55" spans="1:13">
      <c r="A55" t="s">
        <v>298</v>
      </c>
      <c r="B55" s="3">
        <v>6.75</v>
      </c>
      <c r="C55" s="3"/>
      <c r="D55" s="3"/>
      <c r="E55" s="3"/>
      <c r="F55" s="3" t="s">
        <v>4</v>
      </c>
      <c r="G55" s="3"/>
      <c r="H55">
        <v>0</v>
      </c>
    </row>
    <row r="56" spans="1:13">
      <c r="A56" t="s">
        <v>297</v>
      </c>
      <c r="B56" s="3">
        <v>10.125</v>
      </c>
      <c r="C56" s="3"/>
      <c r="D56" s="3"/>
      <c r="E56" s="3"/>
      <c r="F56" s="3"/>
      <c r="G56" s="3"/>
    </row>
    <row r="57" spans="1:13">
      <c r="A57" t="s">
        <v>296</v>
      </c>
      <c r="B57" s="3">
        <v>13.5</v>
      </c>
      <c r="C57" s="3"/>
      <c r="D57" s="3"/>
      <c r="E57" s="3"/>
      <c r="F57" s="3"/>
      <c r="G57" s="3"/>
      <c r="M57" s="5"/>
    </row>
    <row r="58" spans="1:13">
      <c r="B58" s="3"/>
      <c r="C58" s="3"/>
      <c r="D58" s="3"/>
      <c r="E58" s="3"/>
      <c r="F58" s="3"/>
      <c r="G58" s="3"/>
    </row>
    <row r="59" spans="1:13" ht="17.25">
      <c r="A59" s="6" t="s">
        <v>21</v>
      </c>
      <c r="B59" s="9">
        <v>13.5</v>
      </c>
      <c r="C59" s="9"/>
      <c r="D59" s="10"/>
      <c r="E59" s="10"/>
      <c r="F59" s="9">
        <v>1.5</v>
      </c>
      <c r="G59" s="9"/>
      <c r="H59" s="8"/>
      <c r="I59" s="7"/>
      <c r="J59" s="7"/>
      <c r="K59" s="7"/>
      <c r="L59" s="5">
        <v>15</v>
      </c>
    </row>
    <row r="60" spans="1:13">
      <c r="A60" t="s">
        <v>295</v>
      </c>
      <c r="B60" s="3">
        <v>3.375</v>
      </c>
      <c r="C60" s="3"/>
      <c r="D60" s="3"/>
      <c r="E60" s="3"/>
      <c r="F60" s="3" t="s">
        <v>7</v>
      </c>
      <c r="G60" s="3"/>
      <c r="H60">
        <v>1.5</v>
      </c>
    </row>
    <row r="61" spans="1:13">
      <c r="A61" t="s">
        <v>294</v>
      </c>
      <c r="B61" s="3">
        <v>6.75</v>
      </c>
      <c r="C61" s="3"/>
      <c r="D61" s="3"/>
      <c r="E61" s="3"/>
      <c r="F61" s="3" t="s">
        <v>4</v>
      </c>
      <c r="G61" s="3"/>
      <c r="H61">
        <v>0</v>
      </c>
    </row>
    <row r="62" spans="1:13">
      <c r="A62" t="s">
        <v>293</v>
      </c>
      <c r="B62" s="3">
        <v>10.125</v>
      </c>
      <c r="C62" s="3"/>
      <c r="D62" s="3"/>
      <c r="E62" s="3"/>
      <c r="F62" s="3"/>
      <c r="G62" s="3"/>
    </row>
    <row r="63" spans="1:13">
      <c r="A63" t="s">
        <v>292</v>
      </c>
      <c r="B63" s="3">
        <v>13.5</v>
      </c>
      <c r="C63" s="3"/>
      <c r="D63" s="3"/>
      <c r="E63" s="3"/>
      <c r="F63" s="3"/>
      <c r="G63" s="3"/>
      <c r="M63" s="5"/>
    </row>
    <row r="64" spans="1:13">
      <c r="B64" s="3"/>
      <c r="C64" s="3"/>
      <c r="D64" s="3"/>
      <c r="E64" s="3"/>
      <c r="F64" s="3"/>
      <c r="G64" s="3"/>
    </row>
    <row r="65" spans="1:14" ht="34.5">
      <c r="A65" s="6" t="s">
        <v>16</v>
      </c>
      <c r="B65" s="5">
        <v>4.25</v>
      </c>
      <c r="C65" s="5"/>
      <c r="D65" s="3" t="s">
        <v>10</v>
      </c>
      <c r="E65" s="5"/>
      <c r="F65" s="5">
        <v>0.75</v>
      </c>
      <c r="G65" s="5"/>
      <c r="H65" s="7"/>
      <c r="I65" s="7"/>
      <c r="J65" s="7"/>
      <c r="K65" s="7"/>
      <c r="L65" s="5">
        <v>5</v>
      </c>
    </row>
    <row r="66" spans="1:14">
      <c r="A66" t="s">
        <v>291</v>
      </c>
      <c r="B66" s="3">
        <v>1.0625</v>
      </c>
      <c r="C66" s="3"/>
      <c r="D66" s="3" t="s">
        <v>8</v>
      </c>
      <c r="E66" s="3">
        <f>QUARTILE(AD4:AD13,1)</f>
        <v>1.0302</v>
      </c>
      <c r="F66" s="3" t="s">
        <v>7</v>
      </c>
      <c r="G66" s="3"/>
      <c r="H66">
        <v>0.75</v>
      </c>
      <c r="N66" s="13"/>
    </row>
    <row r="67" spans="1:14">
      <c r="A67" t="s">
        <v>290</v>
      </c>
      <c r="B67" s="3">
        <v>2.125</v>
      </c>
      <c r="C67" s="3"/>
      <c r="D67" s="3" t="s">
        <v>5</v>
      </c>
      <c r="E67" s="3">
        <f>QUARTILE(AD4:AD13,2)</f>
        <v>1.0425500000000001</v>
      </c>
      <c r="F67" s="3" t="s">
        <v>4</v>
      </c>
      <c r="G67" s="3"/>
      <c r="H67">
        <v>0</v>
      </c>
      <c r="N67" s="13"/>
    </row>
    <row r="68" spans="1:14">
      <c r="A68" t="s">
        <v>289</v>
      </c>
      <c r="B68" s="3">
        <v>3.1875</v>
      </c>
      <c r="C68" s="3"/>
      <c r="D68" s="3" t="s">
        <v>2</v>
      </c>
      <c r="E68" s="3">
        <f>QUARTILE(AD4:AD13,3)</f>
        <v>1.076875</v>
      </c>
      <c r="F68" s="3"/>
      <c r="G68" s="3"/>
      <c r="N68" s="12"/>
    </row>
    <row r="69" spans="1:14">
      <c r="A69" t="s">
        <v>288</v>
      </c>
      <c r="B69" s="3">
        <v>4.25</v>
      </c>
      <c r="C69" s="3"/>
      <c r="D69" s="3"/>
      <c r="E69" s="3"/>
      <c r="F69" s="3"/>
      <c r="G69" s="3"/>
      <c r="M69" s="5"/>
      <c r="N69" s="12"/>
    </row>
    <row r="70" spans="1:14">
      <c r="B70" s="3"/>
      <c r="C70" s="3"/>
      <c r="D70" s="3"/>
      <c r="E70" s="3"/>
      <c r="F70" s="3"/>
      <c r="G70" s="3"/>
      <c r="N70" s="12"/>
    </row>
    <row r="71" spans="1:14" ht="17.25">
      <c r="A71" s="6" t="s">
        <v>11</v>
      </c>
      <c r="B71" s="5">
        <v>8.5</v>
      </c>
      <c r="C71" s="5"/>
      <c r="D71" s="3" t="s">
        <v>10</v>
      </c>
      <c r="E71" s="5"/>
      <c r="F71" s="5">
        <v>1.5</v>
      </c>
      <c r="G71" s="5"/>
      <c r="H71" s="7"/>
      <c r="I71" s="5"/>
      <c r="J71" s="5"/>
      <c r="K71" s="5"/>
      <c r="L71" s="5">
        <v>10</v>
      </c>
      <c r="N71" s="12"/>
    </row>
    <row r="72" spans="1:14">
      <c r="A72" t="s">
        <v>287</v>
      </c>
      <c r="B72" s="3">
        <v>2.125</v>
      </c>
      <c r="C72" s="3"/>
      <c r="D72" s="3" t="s">
        <v>8</v>
      </c>
      <c r="E72" s="3">
        <f>QUARTILE(AH4:AH13,1)</f>
        <v>2.2499999999999999E-2</v>
      </c>
      <c r="F72" s="3" t="s">
        <v>7</v>
      </c>
      <c r="G72" s="3"/>
      <c r="H72">
        <v>1.5</v>
      </c>
      <c r="N72" s="12"/>
    </row>
    <row r="73" spans="1:14">
      <c r="A73" t="s">
        <v>286</v>
      </c>
      <c r="B73" s="3">
        <v>4.25</v>
      </c>
      <c r="C73" s="3"/>
      <c r="D73" s="3" t="s">
        <v>5</v>
      </c>
      <c r="E73" s="3">
        <f>QUARTILE(AH4:AH14,2)</f>
        <v>3.9349999999999996E-2</v>
      </c>
      <c r="F73" s="3" t="s">
        <v>4</v>
      </c>
      <c r="G73" s="3"/>
      <c r="H73">
        <v>0</v>
      </c>
      <c r="N73" s="12"/>
    </row>
    <row r="74" spans="1:14">
      <c r="A74" t="s">
        <v>285</v>
      </c>
      <c r="B74" s="3">
        <v>6.375</v>
      </c>
      <c r="C74" s="3"/>
      <c r="D74" s="3" t="s">
        <v>2</v>
      </c>
      <c r="E74" s="3">
        <f>QUARTILE(AH4:AH13,3)</f>
        <v>5.8775000000000008E-2</v>
      </c>
      <c r="F74" s="3"/>
      <c r="G74" s="3"/>
      <c r="N74" s="12"/>
    </row>
    <row r="75" spans="1:14">
      <c r="A75" t="s">
        <v>284</v>
      </c>
      <c r="B75" s="3">
        <v>8.5</v>
      </c>
      <c r="C75" s="3"/>
      <c r="D75" s="3"/>
      <c r="E75" s="3"/>
      <c r="F75" s="3"/>
      <c r="G75" s="3"/>
      <c r="M75" s="5"/>
      <c r="N75" s="12"/>
    </row>
    <row r="76" spans="1:14">
      <c r="B76" s="3"/>
      <c r="C76" s="3"/>
      <c r="D76" s="3"/>
      <c r="E76" s="3"/>
      <c r="F76" s="3"/>
      <c r="G76" s="3"/>
      <c r="N76" s="12"/>
    </row>
    <row r="77" spans="1:14" ht="18.75">
      <c r="B77" s="504" t="s">
        <v>0</v>
      </c>
      <c r="C77" s="504"/>
      <c r="D77" s="504"/>
      <c r="E77" s="504"/>
      <c r="F77" s="504"/>
      <c r="G77" s="504"/>
      <c r="H77" s="504"/>
      <c r="I77" s="504"/>
      <c r="J77" s="504"/>
      <c r="K77" s="2"/>
      <c r="L77" s="1">
        <f>SUM(L16:L74)</f>
        <v>100</v>
      </c>
      <c r="N77" s="12"/>
    </row>
    <row r="81" spans="13:13">
      <c r="M81" s="5"/>
    </row>
    <row r="87" spans="13:13" ht="18.75">
      <c r="M87" s="1"/>
    </row>
  </sheetData>
  <mergeCells count="2">
    <mergeCell ref="A1:AJ2"/>
    <mergeCell ref="B77:J77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L88"/>
  <sheetViews>
    <sheetView zoomScale="80" zoomScaleNormal="80" workbookViewId="0">
      <selection activeCell="O20" sqref="O20"/>
    </sheetView>
  </sheetViews>
  <sheetFormatPr defaultRowHeight="15"/>
  <cols>
    <col min="1" max="1" width="20.85546875" bestFit="1" customWidth="1"/>
    <col min="2" max="2" width="9.140625" customWidth="1"/>
    <col min="4" max="4" width="15" customWidth="1"/>
    <col min="5" max="5" width="10.5703125" customWidth="1"/>
    <col min="6" max="6" width="16.7109375" bestFit="1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6.5703125" bestFit="1" customWidth="1"/>
    <col min="15" max="15" width="10" customWidth="1"/>
    <col min="16" max="17" width="9" customWidth="1"/>
    <col min="18" max="18" width="14.5703125" customWidth="1"/>
    <col min="19" max="19" width="9.5703125" customWidth="1"/>
    <col min="20" max="20" width="7.7109375" customWidth="1"/>
    <col min="21" max="21" width="8.7109375" bestFit="1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8">
      <c r="A1" s="503" t="s">
        <v>358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8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8" ht="45" customHeight="1">
      <c r="A3" s="3" t="s">
        <v>97</v>
      </c>
      <c r="B3" s="5" t="s">
        <v>96</v>
      </c>
      <c r="C3" s="57" t="s">
        <v>93</v>
      </c>
      <c r="D3" s="57" t="s">
        <v>95</v>
      </c>
      <c r="E3" s="57" t="s">
        <v>93</v>
      </c>
      <c r="F3" s="5" t="s">
        <v>94</v>
      </c>
      <c r="G3" s="57" t="s">
        <v>83</v>
      </c>
      <c r="H3" s="57" t="s">
        <v>84</v>
      </c>
      <c r="I3" s="57" t="s">
        <v>93</v>
      </c>
      <c r="J3" s="75" t="s">
        <v>92</v>
      </c>
      <c r="K3" s="57" t="s">
        <v>83</v>
      </c>
      <c r="L3" s="74" t="s">
        <v>91</v>
      </c>
      <c r="M3" s="57" t="s">
        <v>83</v>
      </c>
      <c r="N3" s="24" t="s">
        <v>90</v>
      </c>
      <c r="O3" s="57" t="s">
        <v>83</v>
      </c>
      <c r="P3" s="57" t="s">
        <v>84</v>
      </c>
      <c r="Q3" s="57" t="s">
        <v>83</v>
      </c>
      <c r="R3" s="24" t="s">
        <v>89</v>
      </c>
      <c r="S3" s="57" t="s">
        <v>83</v>
      </c>
      <c r="T3" s="57" t="s">
        <v>84</v>
      </c>
      <c r="U3" s="57" t="s">
        <v>83</v>
      </c>
      <c r="V3" s="24" t="s">
        <v>88</v>
      </c>
      <c r="W3" s="57" t="s">
        <v>83</v>
      </c>
      <c r="X3" s="57" t="s">
        <v>84</v>
      </c>
      <c r="Y3" s="57" t="s">
        <v>83</v>
      </c>
      <c r="Z3" s="24" t="s">
        <v>87</v>
      </c>
      <c r="AA3" s="57" t="s">
        <v>83</v>
      </c>
      <c r="AB3" s="57" t="s">
        <v>84</v>
      </c>
      <c r="AC3" s="57" t="s">
        <v>83</v>
      </c>
      <c r="AD3" s="24" t="s">
        <v>86</v>
      </c>
      <c r="AE3" s="57" t="s">
        <v>83</v>
      </c>
      <c r="AF3" s="57" t="s">
        <v>84</v>
      </c>
      <c r="AG3" s="57" t="s">
        <v>83</v>
      </c>
      <c r="AH3" s="24" t="s">
        <v>85</v>
      </c>
      <c r="AI3" s="57" t="s">
        <v>83</v>
      </c>
      <c r="AJ3" s="57" t="s">
        <v>84</v>
      </c>
      <c r="AK3" s="57" t="s">
        <v>83</v>
      </c>
      <c r="AL3" s="57" t="s">
        <v>82</v>
      </c>
    </row>
    <row r="4" spans="1:38">
      <c r="A4" s="32" t="s">
        <v>333</v>
      </c>
      <c r="B4" s="62">
        <v>0.8</v>
      </c>
      <c r="C4" s="63">
        <f t="shared" ref="C4:C13" si="0">IF(B4&gt;4,$B$20,IF(B4&lt;-5.025,$B$17,IF(AND(B4&gt;-5.025,B4&lt;0.5),$B$18,$B$19)))</f>
        <v>10.125</v>
      </c>
      <c r="D4" s="66">
        <v>1</v>
      </c>
      <c r="E4" s="66">
        <f t="shared" ref="E4:E13" si="1">IF(D4=0,"0",$H$17)</f>
        <v>1.5</v>
      </c>
      <c r="F4" s="62">
        <v>-9.1999999999999993</v>
      </c>
      <c r="G4" s="63">
        <f t="shared" ref="G4:G13" si="2">IF(F4&gt;32.3,$B$26,IF(F4&lt;-1.1,$B$23,IF(AND(F4&gt;-1.1,F4&lt;4.5),$B$24,$B$25)))</f>
        <v>3.375</v>
      </c>
      <c r="H4" s="66">
        <v>1</v>
      </c>
      <c r="I4" s="66">
        <f t="shared" ref="I4:I13" si="3">IF(H4=0,"0",$H$23)</f>
        <v>1.5</v>
      </c>
      <c r="J4" s="61">
        <v>2.8400000000000002E-2</v>
      </c>
      <c r="K4" s="69">
        <f t="shared" ref="K4:K13" si="4">IF(J4&gt;QUARTILE($J$4:$J$13,3),$B$33,IF(AND(J4&lt;=QUARTILE($J$4:$J$13,3),J4&gt;QUARTILE($J$4:$J$13,2)),$B$32,IF(AND(J4&lt;=QUARTILE($J$4:$J$13,2),J4&gt;QUARTILE($J$4:$J$13,1)),$B$31,$B$30)))</f>
        <v>2.5</v>
      </c>
      <c r="L4" s="61">
        <v>-0.43369999999999997</v>
      </c>
      <c r="M4" s="69">
        <f t="shared" ref="M4:M13" si="5">IF(L4&gt;QUARTILE($L$4:$L$13,3),$B$39,IF(AND(L4&lt;=QUARTILE($L$4:$L$13,3),L4&gt;QUARTILE($L$4:$L$13,2)),$B$38,IF(AND(L4&lt;=QUARTILE($L$4:$L$13,2),L4&gt;QUARTILE(L4:L13,1)),$B$37,$B$36)))</f>
        <v>1.25</v>
      </c>
      <c r="N4" s="62">
        <v>225.82</v>
      </c>
      <c r="O4" s="63">
        <f t="shared" ref="O4:O13" si="6">IF(N4&gt;QUARTILE($N$4:$N$13,3),$B$45,IF(AND(N4&lt;=QUARTILE($N$4:$N$13,3),N4&gt;QUARTILE($N$4:$N$13,2)),$B$44,IF(AND(N4&lt;=QUARTILE($N$4:$N$13,2),N4&gt;QUARTILE($N$4:$N$13,1)),$B$43,$B$42)))</f>
        <v>2.125</v>
      </c>
      <c r="P4" s="63">
        <v>1</v>
      </c>
      <c r="Q4" s="63">
        <f t="shared" ref="Q4:Q13" si="7">IF(P4=0,"0",$H$42)</f>
        <v>0.5</v>
      </c>
      <c r="R4" s="59">
        <v>8.3099999999999993E-2</v>
      </c>
      <c r="S4" s="69">
        <f t="shared" ref="S4:S13" si="8">IF(R4&gt;23.06%,$B$51,IF(R4&lt;-7%,$B$48,IF(AND(R4&gt;-7%,R4&lt;7.1%),$B$49,$B$50)))</f>
        <v>6.75</v>
      </c>
      <c r="T4" s="68">
        <v>0</v>
      </c>
      <c r="U4" s="69" t="str">
        <f t="shared" ref="U4:U13" si="9">IF(T4=0,"0",$H$48)</f>
        <v>0</v>
      </c>
      <c r="V4" s="59">
        <v>3.8600000000000002E-2</v>
      </c>
      <c r="W4" s="70">
        <f t="shared" ref="W4:W13" si="10">IF(V4&gt;8.7475%,$B$57,IF(V4&lt;-15.405%,$B$54,IF(AND(V4&gt;-15.405%,V4&lt;1.81%),$B$55,$B$56)))</f>
        <v>10.125</v>
      </c>
      <c r="X4" s="68">
        <v>0</v>
      </c>
      <c r="Y4" s="69" t="str">
        <f t="shared" ref="Y4:Y13" si="11">IF(X4=0,"0",$H$54)</f>
        <v>0</v>
      </c>
      <c r="Z4" s="59">
        <v>-6.0400000000000002E-2</v>
      </c>
      <c r="AA4" s="70">
        <f t="shared" ref="AA4:AA13" si="12">IF(Z4&gt;4.25%,$B$63,IF(Z4&lt;-24.57%,$B$60,IF(AND(Z4&gt;-24.57%,Z4&lt;0.57%),$B$61,$B$62)))</f>
        <v>6.75</v>
      </c>
      <c r="AB4" s="68">
        <v>1</v>
      </c>
      <c r="AC4" s="69">
        <f>IF(AB4=0,"0",$H$60)</f>
        <v>1.5</v>
      </c>
      <c r="AD4" s="60">
        <v>1.0402</v>
      </c>
      <c r="AE4" s="67">
        <f t="shared" ref="AE4:AE13" si="13">IF(AD4&gt;QUARTILE($AD$4:$AD$13,3),$B$66,IF(AND(AD4&lt;=QUARTILE($AD$4:$AD$13,3),AD4&gt;QUARTILE($AD$4:$AD$13,2)),$B$67,IF(AND(AD4&lt;=QUARTILE($AD$4:$AD$13,2),AD4&gt;QUARTILE($AD$4:$AD$13,1)),$B$68,$B$69)))</f>
        <v>2.125</v>
      </c>
      <c r="AF4" s="68">
        <v>0</v>
      </c>
      <c r="AG4" s="67" t="str">
        <f t="shared" ref="AG4:AG13" si="14">IF(AF4=0,"0","0,5")</f>
        <v>0</v>
      </c>
      <c r="AH4" s="59">
        <v>1.5391315028243667E-2</v>
      </c>
      <c r="AI4" s="63">
        <f t="shared" ref="AI4:AI13" si="15">IF(AH4&gt;QUARTILE($AH$4:$AH$13,3),$B$75,IF(AND(AH4&lt;=QUARTILE($AH$4:$AH$13,3),AH4&gt;QUARTILE($AH$4:$AH$13,2)),$B$74,IF(AND(AH4&lt;=QUARTILE($AH$4:$AH$13,2),AH4&gt;QUARTILE($AH$4:$AH$13,1)),$B$73,$B$72)))</f>
        <v>2.25</v>
      </c>
      <c r="AJ4" s="66">
        <v>0</v>
      </c>
      <c r="AK4" s="66" t="str">
        <f t="shared" ref="AK4:AK13" si="16">IF(AJ4=0,"0",$H$72)</f>
        <v>0</v>
      </c>
      <c r="AL4" s="65">
        <f t="shared" ref="AL4:AL13" si="17">C4+E4+G4+I4+K4+M4+O4+Q4+S4+U4+W4+Y4+AA4+AC4+AE4+AG4+AI4+AK4</f>
        <v>52.375</v>
      </c>
    </row>
    <row r="5" spans="1:38">
      <c r="A5" s="32" t="s">
        <v>332</v>
      </c>
      <c r="B5" s="62">
        <v>5.2</v>
      </c>
      <c r="C5" s="63">
        <f t="shared" si="0"/>
        <v>13.5</v>
      </c>
      <c r="D5" s="66">
        <v>0</v>
      </c>
      <c r="E5" s="66" t="str">
        <f t="shared" si="1"/>
        <v>0</v>
      </c>
      <c r="F5" s="73">
        <v>7.1</v>
      </c>
      <c r="G5" s="63">
        <f t="shared" si="2"/>
        <v>10.125</v>
      </c>
      <c r="H5" s="66">
        <v>0</v>
      </c>
      <c r="I5" s="66" t="str">
        <f t="shared" si="3"/>
        <v>0</v>
      </c>
      <c r="J5" s="61">
        <v>5.7799999999999997E-2</v>
      </c>
      <c r="K5" s="69">
        <f t="shared" si="4"/>
        <v>5</v>
      </c>
      <c r="L5" s="61">
        <v>-0.20330000000000001</v>
      </c>
      <c r="M5" s="69">
        <f t="shared" si="5"/>
        <v>3.75</v>
      </c>
      <c r="N5" s="62">
        <v>100.64</v>
      </c>
      <c r="O5" s="63">
        <f t="shared" si="6"/>
        <v>3.1875</v>
      </c>
      <c r="P5" s="63">
        <v>1</v>
      </c>
      <c r="Q5" s="63">
        <f t="shared" si="7"/>
        <v>0.5</v>
      </c>
      <c r="R5" s="59">
        <v>0.1024</v>
      </c>
      <c r="S5" s="69">
        <f t="shared" si="8"/>
        <v>6.75</v>
      </c>
      <c r="T5" s="68">
        <v>1</v>
      </c>
      <c r="U5" s="69">
        <f t="shared" si="9"/>
        <v>1</v>
      </c>
      <c r="V5" s="59">
        <v>5.4800000000000001E-2</v>
      </c>
      <c r="W5" s="70">
        <f t="shared" si="10"/>
        <v>10.125</v>
      </c>
      <c r="X5" s="68">
        <v>1</v>
      </c>
      <c r="Y5" s="69">
        <f t="shared" si="11"/>
        <v>1.5</v>
      </c>
      <c r="Z5" s="59">
        <v>2.9100000000000001E-2</v>
      </c>
      <c r="AA5" s="70">
        <f t="shared" si="12"/>
        <v>10.125</v>
      </c>
      <c r="AB5" s="68">
        <v>0</v>
      </c>
      <c r="AC5" s="69" t="str">
        <f t="shared" ref="AC5:AC13" si="18">IF(AB5=0,"0",$H$66)</f>
        <v>0</v>
      </c>
      <c r="AD5" s="60">
        <v>1.0580000000000001</v>
      </c>
      <c r="AE5" s="67">
        <f t="shared" si="13"/>
        <v>2.125</v>
      </c>
      <c r="AF5" s="68">
        <v>1</v>
      </c>
      <c r="AG5" s="67" t="str">
        <f t="shared" si="14"/>
        <v>0,5</v>
      </c>
      <c r="AH5" s="59">
        <v>8.793344158459715E-2</v>
      </c>
      <c r="AI5" s="63">
        <f t="shared" si="15"/>
        <v>6.75</v>
      </c>
      <c r="AJ5" s="66">
        <v>0</v>
      </c>
      <c r="AK5" s="66" t="str">
        <f t="shared" si="16"/>
        <v>0</v>
      </c>
      <c r="AL5" s="65">
        <f t="shared" si="17"/>
        <v>74.9375</v>
      </c>
    </row>
    <row r="6" spans="1:38">
      <c r="A6" s="32" t="s">
        <v>331</v>
      </c>
      <c r="B6" s="62">
        <v>2.8</v>
      </c>
      <c r="C6" s="63">
        <f t="shared" si="0"/>
        <v>10.125</v>
      </c>
      <c r="D6" s="66">
        <v>1</v>
      </c>
      <c r="E6" s="66">
        <f t="shared" si="1"/>
        <v>1.5</v>
      </c>
      <c r="F6" s="62">
        <v>4</v>
      </c>
      <c r="G6" s="63">
        <f t="shared" si="2"/>
        <v>6.75</v>
      </c>
      <c r="H6" s="66">
        <v>1</v>
      </c>
      <c r="I6" s="66">
        <f t="shared" si="3"/>
        <v>1.5</v>
      </c>
      <c r="J6" s="61">
        <v>8.5000000000000006E-3</v>
      </c>
      <c r="K6" s="69">
        <f t="shared" si="4"/>
        <v>1.25</v>
      </c>
      <c r="L6" s="61">
        <v>2.3195000000000001</v>
      </c>
      <c r="M6" s="69">
        <f t="shared" si="5"/>
        <v>5</v>
      </c>
      <c r="N6" s="62">
        <v>-14.39</v>
      </c>
      <c r="O6" s="63">
        <f t="shared" si="6"/>
        <v>4.25</v>
      </c>
      <c r="P6" s="63">
        <v>0</v>
      </c>
      <c r="Q6" s="63" t="str">
        <f t="shared" si="7"/>
        <v>0</v>
      </c>
      <c r="R6" s="59">
        <v>6.9900000000000004E-2</v>
      </c>
      <c r="S6" s="69">
        <f t="shared" si="8"/>
        <v>4.5</v>
      </c>
      <c r="T6" s="68">
        <v>1</v>
      </c>
      <c r="U6" s="69">
        <f t="shared" si="9"/>
        <v>1</v>
      </c>
      <c r="V6" s="59">
        <v>2.8899999999999999E-2</v>
      </c>
      <c r="W6" s="70">
        <f t="shared" si="10"/>
        <v>10.125</v>
      </c>
      <c r="X6" s="68">
        <v>1</v>
      </c>
      <c r="Y6" s="69">
        <f t="shared" si="11"/>
        <v>1.5</v>
      </c>
      <c r="Z6" s="59">
        <v>1.6199999999999999E-2</v>
      </c>
      <c r="AA6" s="70">
        <f t="shared" si="12"/>
        <v>10.125</v>
      </c>
      <c r="AB6" s="68">
        <v>1</v>
      </c>
      <c r="AC6" s="69">
        <f t="shared" si="18"/>
        <v>0.5</v>
      </c>
      <c r="AD6" s="60">
        <v>1.0298</v>
      </c>
      <c r="AE6" s="67">
        <f t="shared" si="13"/>
        <v>1.0625</v>
      </c>
      <c r="AF6" s="68">
        <v>1</v>
      </c>
      <c r="AG6" s="67" t="str">
        <f t="shared" si="14"/>
        <v>0,5</v>
      </c>
      <c r="AH6" s="59">
        <v>5.3093246747089609E-2</v>
      </c>
      <c r="AI6" s="63">
        <f t="shared" si="15"/>
        <v>2.25</v>
      </c>
      <c r="AJ6" s="66">
        <v>1</v>
      </c>
      <c r="AK6" s="66">
        <f t="shared" si="16"/>
        <v>1</v>
      </c>
      <c r="AL6" s="65">
        <f t="shared" si="17"/>
        <v>62.9375</v>
      </c>
    </row>
    <row r="7" spans="1:38">
      <c r="A7" s="32" t="s">
        <v>330</v>
      </c>
      <c r="B7" s="72">
        <v>0.2</v>
      </c>
      <c r="C7" s="63">
        <f t="shared" si="0"/>
        <v>6.75</v>
      </c>
      <c r="D7" s="66">
        <v>1</v>
      </c>
      <c r="E7" s="66">
        <f t="shared" si="1"/>
        <v>1.5</v>
      </c>
      <c r="F7" s="72">
        <v>0.6</v>
      </c>
      <c r="G7" s="63">
        <f t="shared" si="2"/>
        <v>6.75</v>
      </c>
      <c r="H7" s="66">
        <v>1</v>
      </c>
      <c r="I7" s="66">
        <f t="shared" si="3"/>
        <v>1.5</v>
      </c>
      <c r="J7" s="61">
        <v>3.4099999999999998E-2</v>
      </c>
      <c r="K7" s="69">
        <f t="shared" si="4"/>
        <v>3.75</v>
      </c>
      <c r="L7" s="61">
        <v>3.7698</v>
      </c>
      <c r="M7" s="69">
        <f t="shared" si="5"/>
        <v>5</v>
      </c>
      <c r="N7" s="62">
        <v>310.37</v>
      </c>
      <c r="O7" s="63">
        <f t="shared" si="6"/>
        <v>1.0625</v>
      </c>
      <c r="P7" s="63">
        <v>1</v>
      </c>
      <c r="Q7" s="63">
        <f t="shared" si="7"/>
        <v>0.5</v>
      </c>
      <c r="R7" s="59">
        <v>6.6299999999999998E-2</v>
      </c>
      <c r="S7" s="69">
        <f t="shared" si="8"/>
        <v>4.5</v>
      </c>
      <c r="T7" s="68">
        <v>0</v>
      </c>
      <c r="U7" s="69" t="str">
        <f t="shared" si="9"/>
        <v>0</v>
      </c>
      <c r="V7" s="59">
        <v>0.10829999999999999</v>
      </c>
      <c r="W7" s="70">
        <f t="shared" si="10"/>
        <v>13.5</v>
      </c>
      <c r="X7" s="68">
        <v>0</v>
      </c>
      <c r="Y7" s="69" t="str">
        <f t="shared" si="11"/>
        <v>0</v>
      </c>
      <c r="Z7" s="59">
        <v>3.8E-3</v>
      </c>
      <c r="AA7" s="70">
        <f t="shared" si="12"/>
        <v>6.75</v>
      </c>
      <c r="AB7" s="68">
        <v>1</v>
      </c>
      <c r="AC7" s="69">
        <f t="shared" si="18"/>
        <v>0.5</v>
      </c>
      <c r="AD7" s="60">
        <v>1.1214</v>
      </c>
      <c r="AE7" s="67">
        <f t="shared" si="13"/>
        <v>4.25</v>
      </c>
      <c r="AF7" s="68">
        <v>1</v>
      </c>
      <c r="AG7" s="67" t="str">
        <f t="shared" si="14"/>
        <v>0,5</v>
      </c>
      <c r="AH7" s="59">
        <v>0.14557961615533968</v>
      </c>
      <c r="AI7" s="63">
        <f t="shared" si="15"/>
        <v>9</v>
      </c>
      <c r="AJ7" s="66">
        <v>0</v>
      </c>
      <c r="AK7" s="66" t="str">
        <f t="shared" si="16"/>
        <v>0</v>
      </c>
      <c r="AL7" s="65">
        <f t="shared" si="17"/>
        <v>65.8125</v>
      </c>
    </row>
    <row r="8" spans="1:38">
      <c r="A8" s="32" t="s">
        <v>329</v>
      </c>
      <c r="B8" s="62">
        <v>2.6</v>
      </c>
      <c r="C8" s="63">
        <f t="shared" si="0"/>
        <v>10.125</v>
      </c>
      <c r="D8" s="66">
        <v>0</v>
      </c>
      <c r="E8" s="66" t="str">
        <f t="shared" si="1"/>
        <v>0</v>
      </c>
      <c r="F8" s="62">
        <v>1.9</v>
      </c>
      <c r="G8" s="63">
        <f t="shared" si="2"/>
        <v>6.75</v>
      </c>
      <c r="H8" s="66">
        <v>0</v>
      </c>
      <c r="I8" s="66" t="str">
        <f t="shared" si="3"/>
        <v>0</v>
      </c>
      <c r="J8" s="61">
        <v>0.112</v>
      </c>
      <c r="K8" s="69">
        <f t="shared" si="4"/>
        <v>5</v>
      </c>
      <c r="L8" s="61">
        <v>-0.81920000000000004</v>
      </c>
      <c r="M8" s="69">
        <f t="shared" si="5"/>
        <v>1.25</v>
      </c>
      <c r="N8" s="62">
        <v>-2.4500000000000002</v>
      </c>
      <c r="O8" s="63">
        <f t="shared" si="6"/>
        <v>4.25</v>
      </c>
      <c r="P8" s="63">
        <v>0</v>
      </c>
      <c r="Q8" s="63" t="str">
        <f t="shared" si="7"/>
        <v>0</v>
      </c>
      <c r="R8" s="59">
        <v>0.1754</v>
      </c>
      <c r="S8" s="69">
        <f t="shared" si="8"/>
        <v>6.75</v>
      </c>
      <c r="T8" s="68">
        <v>0</v>
      </c>
      <c r="U8" s="69" t="str">
        <f t="shared" si="9"/>
        <v>0</v>
      </c>
      <c r="V8" s="59">
        <v>9.3700000000000006E-2</v>
      </c>
      <c r="W8" s="70">
        <f t="shared" si="10"/>
        <v>13.5</v>
      </c>
      <c r="X8" s="68">
        <v>0</v>
      </c>
      <c r="Y8" s="69" t="str">
        <f t="shared" si="11"/>
        <v>0</v>
      </c>
      <c r="Z8" s="59">
        <v>2.3099999999999999E-2</v>
      </c>
      <c r="AA8" s="70">
        <f t="shared" si="12"/>
        <v>10.125</v>
      </c>
      <c r="AB8" s="68">
        <v>0</v>
      </c>
      <c r="AC8" s="69" t="str">
        <f t="shared" si="18"/>
        <v>0</v>
      </c>
      <c r="AD8" s="60">
        <v>1.1033999999999999</v>
      </c>
      <c r="AE8" s="67">
        <f t="shared" si="13"/>
        <v>4.25</v>
      </c>
      <c r="AF8" s="68">
        <v>0</v>
      </c>
      <c r="AG8" s="67" t="str">
        <f t="shared" si="14"/>
        <v>0</v>
      </c>
      <c r="AH8" s="59">
        <v>6.4968799716552991E-2</v>
      </c>
      <c r="AI8" s="63">
        <f t="shared" si="15"/>
        <v>4.5</v>
      </c>
      <c r="AJ8" s="66">
        <v>0</v>
      </c>
      <c r="AK8" s="66" t="str">
        <f t="shared" si="16"/>
        <v>0</v>
      </c>
      <c r="AL8" s="65">
        <f t="shared" si="17"/>
        <v>66.5</v>
      </c>
    </row>
    <row r="9" spans="1:38">
      <c r="A9" s="32" t="s">
        <v>328</v>
      </c>
      <c r="B9" s="62">
        <v>-3.2</v>
      </c>
      <c r="C9" s="63">
        <f t="shared" si="0"/>
        <v>6.75</v>
      </c>
      <c r="D9" s="66">
        <v>0</v>
      </c>
      <c r="E9" s="66" t="str">
        <f t="shared" si="1"/>
        <v>0</v>
      </c>
      <c r="F9" s="62">
        <v>-6.6</v>
      </c>
      <c r="G9" s="63">
        <f t="shared" si="2"/>
        <v>3.375</v>
      </c>
      <c r="H9" s="66">
        <v>0</v>
      </c>
      <c r="I9" s="66" t="str">
        <f t="shared" si="3"/>
        <v>0</v>
      </c>
      <c r="J9" s="61">
        <v>3.6600000000000001E-2</v>
      </c>
      <c r="K9" s="69">
        <f t="shared" si="4"/>
        <v>3.75</v>
      </c>
      <c r="L9" s="61">
        <v>24.076599999999999</v>
      </c>
      <c r="M9" s="69">
        <f t="shared" si="5"/>
        <v>5</v>
      </c>
      <c r="N9" s="62">
        <v>225.88</v>
      </c>
      <c r="O9" s="63">
        <f t="shared" si="6"/>
        <v>1.0625</v>
      </c>
      <c r="P9" s="63">
        <v>0</v>
      </c>
      <c r="Q9" s="63" t="str">
        <f t="shared" si="7"/>
        <v>0</v>
      </c>
      <c r="R9" s="59">
        <v>-6.7000000000000002E-3</v>
      </c>
      <c r="S9" s="69">
        <f t="shared" si="8"/>
        <v>4.5</v>
      </c>
      <c r="T9" s="68">
        <v>0</v>
      </c>
      <c r="U9" s="69" t="str">
        <f t="shared" si="9"/>
        <v>0</v>
      </c>
      <c r="V9" s="59">
        <v>-1.0200000000000001E-2</v>
      </c>
      <c r="W9" s="70">
        <f t="shared" si="10"/>
        <v>6.75</v>
      </c>
      <c r="X9" s="68">
        <v>0</v>
      </c>
      <c r="Y9" s="69" t="str">
        <f t="shared" si="11"/>
        <v>0</v>
      </c>
      <c r="Z9" s="59">
        <v>-4.9599999999999998E-2</v>
      </c>
      <c r="AA9" s="70">
        <f t="shared" si="12"/>
        <v>6.75</v>
      </c>
      <c r="AB9" s="68">
        <v>0</v>
      </c>
      <c r="AC9" s="69" t="str">
        <f t="shared" si="18"/>
        <v>0</v>
      </c>
      <c r="AD9" s="60">
        <v>0.98980000000000001</v>
      </c>
      <c r="AE9" s="67">
        <f t="shared" si="13"/>
        <v>1.0625</v>
      </c>
      <c r="AF9" s="68">
        <v>0</v>
      </c>
      <c r="AG9" s="67" t="str">
        <f t="shared" si="14"/>
        <v>0</v>
      </c>
      <c r="AH9" s="59">
        <v>-1.4947092227785886E-2</v>
      </c>
      <c r="AI9" s="63">
        <f t="shared" si="15"/>
        <v>2.25</v>
      </c>
      <c r="AJ9" s="66">
        <v>1</v>
      </c>
      <c r="AK9" s="66">
        <f t="shared" si="16"/>
        <v>1</v>
      </c>
      <c r="AL9" s="65">
        <f t="shared" si="17"/>
        <v>42.25</v>
      </c>
    </row>
    <row r="10" spans="1:38">
      <c r="A10" s="71" t="s">
        <v>357</v>
      </c>
      <c r="B10" s="62">
        <v>3.6</v>
      </c>
      <c r="C10" s="63">
        <f t="shared" si="0"/>
        <v>10.125</v>
      </c>
      <c r="D10" s="66">
        <v>1</v>
      </c>
      <c r="E10" s="66">
        <f t="shared" si="1"/>
        <v>1.5</v>
      </c>
      <c r="F10" s="62">
        <v>27.6</v>
      </c>
      <c r="G10" s="63">
        <f t="shared" si="2"/>
        <v>10.125</v>
      </c>
      <c r="H10" s="66">
        <v>1</v>
      </c>
      <c r="I10" s="66">
        <f t="shared" si="3"/>
        <v>1.5</v>
      </c>
      <c r="J10" s="61">
        <v>5.9299999999999999E-2</v>
      </c>
      <c r="K10" s="69">
        <f t="shared" si="4"/>
        <v>5</v>
      </c>
      <c r="L10" s="61">
        <v>0.82820000000000005</v>
      </c>
      <c r="M10" s="69">
        <f t="shared" si="5"/>
        <v>3.75</v>
      </c>
      <c r="N10" s="62">
        <v>26.95</v>
      </c>
      <c r="O10" s="63">
        <f t="shared" si="6"/>
        <v>4.25</v>
      </c>
      <c r="P10" s="63">
        <v>0</v>
      </c>
      <c r="Q10" s="63" t="str">
        <f t="shared" si="7"/>
        <v>0</v>
      </c>
      <c r="R10" s="59">
        <v>4.1599999999999998E-2</v>
      </c>
      <c r="S10" s="69">
        <f t="shared" si="8"/>
        <v>4.5</v>
      </c>
      <c r="T10" s="68">
        <v>1</v>
      </c>
      <c r="U10" s="69">
        <f t="shared" si="9"/>
        <v>1</v>
      </c>
      <c r="V10" s="59">
        <v>8.6800000000000002E-2</v>
      </c>
      <c r="W10" s="70">
        <f t="shared" si="10"/>
        <v>10.125</v>
      </c>
      <c r="X10" s="68">
        <v>1</v>
      </c>
      <c r="Y10" s="69">
        <f t="shared" si="11"/>
        <v>1.5</v>
      </c>
      <c r="Z10" s="59">
        <v>2.1499999999999998E-2</v>
      </c>
      <c r="AA10" s="70">
        <f t="shared" si="12"/>
        <v>10.125</v>
      </c>
      <c r="AB10" s="68">
        <v>1</v>
      </c>
      <c r="AC10" s="69">
        <f t="shared" si="18"/>
        <v>0.5</v>
      </c>
      <c r="AD10" s="60">
        <v>1.101</v>
      </c>
      <c r="AE10" s="67">
        <f t="shared" si="13"/>
        <v>3.1875</v>
      </c>
      <c r="AF10" s="68">
        <v>1</v>
      </c>
      <c r="AG10" s="67" t="str">
        <f t="shared" si="14"/>
        <v>0,5</v>
      </c>
      <c r="AH10" s="59">
        <v>0.25019999999999998</v>
      </c>
      <c r="AI10" s="63">
        <f t="shared" si="15"/>
        <v>9</v>
      </c>
      <c r="AJ10" s="66">
        <v>1</v>
      </c>
      <c r="AK10" s="66">
        <f t="shared" si="16"/>
        <v>1</v>
      </c>
      <c r="AL10" s="65">
        <f t="shared" si="17"/>
        <v>77.6875</v>
      </c>
    </row>
    <row r="11" spans="1:38">
      <c r="A11" s="32" t="s">
        <v>326</v>
      </c>
      <c r="B11" s="62">
        <v>3.8</v>
      </c>
      <c r="C11" s="63">
        <f t="shared" si="0"/>
        <v>10.125</v>
      </c>
      <c r="D11" s="66">
        <v>0</v>
      </c>
      <c r="E11" s="66" t="str">
        <f t="shared" si="1"/>
        <v>0</v>
      </c>
      <c r="F11" s="62">
        <v>3.7</v>
      </c>
      <c r="G11" s="63">
        <f t="shared" si="2"/>
        <v>6.75</v>
      </c>
      <c r="H11" s="66">
        <v>0</v>
      </c>
      <c r="I11" s="66" t="str">
        <f t="shared" si="3"/>
        <v>0</v>
      </c>
      <c r="J11" s="61">
        <v>-7.5800000000000006E-2</v>
      </c>
      <c r="K11" s="69">
        <f t="shared" si="4"/>
        <v>1.25</v>
      </c>
      <c r="L11" s="61">
        <v>-0.4708</v>
      </c>
      <c r="M11" s="69">
        <f t="shared" si="5"/>
        <v>1.25</v>
      </c>
      <c r="N11" s="62">
        <v>215.05</v>
      </c>
      <c r="O11" s="63">
        <f t="shared" si="6"/>
        <v>2.125</v>
      </c>
      <c r="P11" s="63">
        <v>1</v>
      </c>
      <c r="Q11" s="63">
        <f t="shared" si="7"/>
        <v>0.5</v>
      </c>
      <c r="R11" s="59">
        <v>0.16209999999999999</v>
      </c>
      <c r="S11" s="69">
        <f t="shared" si="8"/>
        <v>6.75</v>
      </c>
      <c r="T11" s="68">
        <v>0</v>
      </c>
      <c r="U11" s="69" t="str">
        <f t="shared" si="9"/>
        <v>0</v>
      </c>
      <c r="V11" s="59">
        <v>0.1076</v>
      </c>
      <c r="W11" s="70">
        <f t="shared" si="10"/>
        <v>13.5</v>
      </c>
      <c r="X11" s="68">
        <v>0</v>
      </c>
      <c r="Y11" s="69" t="str">
        <f t="shared" si="11"/>
        <v>0</v>
      </c>
      <c r="Z11" s="59">
        <v>5.0999999999999997E-2</v>
      </c>
      <c r="AA11" s="70">
        <f t="shared" si="12"/>
        <v>13.5</v>
      </c>
      <c r="AB11" s="68">
        <v>0</v>
      </c>
      <c r="AC11" s="69" t="str">
        <f t="shared" si="18"/>
        <v>0</v>
      </c>
      <c r="AD11" s="60">
        <v>1.1138999999999999</v>
      </c>
      <c r="AE11" s="67">
        <f t="shared" si="13"/>
        <v>4.25</v>
      </c>
      <c r="AF11" s="68">
        <v>0</v>
      </c>
      <c r="AG11" s="67" t="str">
        <f t="shared" si="14"/>
        <v>0</v>
      </c>
      <c r="AH11" s="59">
        <v>6.316106238413019E-2</v>
      </c>
      <c r="AI11" s="63">
        <f t="shared" si="15"/>
        <v>4.5</v>
      </c>
      <c r="AJ11" s="66">
        <v>0</v>
      </c>
      <c r="AK11" s="66" t="str">
        <f t="shared" si="16"/>
        <v>0</v>
      </c>
      <c r="AL11" s="65">
        <f t="shared" si="17"/>
        <v>64.5</v>
      </c>
    </row>
    <row r="12" spans="1:38">
      <c r="A12" s="71" t="s">
        <v>356</v>
      </c>
      <c r="B12" s="62">
        <v>2.2999999999999998</v>
      </c>
      <c r="C12" s="63">
        <f t="shared" si="0"/>
        <v>10.125</v>
      </c>
      <c r="D12" s="66">
        <v>0</v>
      </c>
      <c r="E12" s="66" t="str">
        <f t="shared" si="1"/>
        <v>0</v>
      </c>
      <c r="F12" s="62">
        <v>9.6999999999999993</v>
      </c>
      <c r="G12" s="63">
        <f t="shared" si="2"/>
        <v>10.125</v>
      </c>
      <c r="H12" s="66">
        <v>0</v>
      </c>
      <c r="I12" s="66" t="str">
        <f t="shared" si="3"/>
        <v>0</v>
      </c>
      <c r="J12" s="61">
        <v>1.3100000000000001E-2</v>
      </c>
      <c r="K12" s="69">
        <f t="shared" si="4"/>
        <v>2.5</v>
      </c>
      <c r="L12" s="61">
        <v>-0.41199999999999998</v>
      </c>
      <c r="M12" s="69">
        <f t="shared" si="5"/>
        <v>1.25</v>
      </c>
      <c r="N12" s="62">
        <v>119.62</v>
      </c>
      <c r="O12" s="63">
        <f t="shared" si="6"/>
        <v>3.1875</v>
      </c>
      <c r="P12" s="63">
        <v>1</v>
      </c>
      <c r="Q12" s="63">
        <f t="shared" si="7"/>
        <v>0.5</v>
      </c>
      <c r="R12" s="59">
        <v>5.3600000000000002E-2</v>
      </c>
      <c r="S12" s="69">
        <f t="shared" si="8"/>
        <v>4.5</v>
      </c>
      <c r="T12" s="68">
        <v>0</v>
      </c>
      <c r="U12" s="69" t="str">
        <f t="shared" si="9"/>
        <v>0</v>
      </c>
      <c r="V12" s="59">
        <v>3.7999999999999999E-2</v>
      </c>
      <c r="W12" s="70">
        <f t="shared" si="10"/>
        <v>10.125</v>
      </c>
      <c r="X12" s="68">
        <v>0</v>
      </c>
      <c r="Y12" s="69" t="str">
        <f t="shared" si="11"/>
        <v>0</v>
      </c>
      <c r="Z12" s="59">
        <v>2.1999999999999999E-2</v>
      </c>
      <c r="AA12" s="70">
        <f t="shared" si="12"/>
        <v>10.125</v>
      </c>
      <c r="AB12" s="68">
        <v>0</v>
      </c>
      <c r="AC12" s="69" t="str">
        <f t="shared" si="18"/>
        <v>0</v>
      </c>
      <c r="AD12" s="60">
        <v>1.0648</v>
      </c>
      <c r="AE12" s="67">
        <f t="shared" si="13"/>
        <v>3.1875</v>
      </c>
      <c r="AF12" s="68">
        <v>0</v>
      </c>
      <c r="AG12" s="67" t="str">
        <f t="shared" si="14"/>
        <v>0</v>
      </c>
      <c r="AH12" s="59">
        <v>0.14033049507590911</v>
      </c>
      <c r="AI12" s="63">
        <f t="shared" si="15"/>
        <v>9</v>
      </c>
      <c r="AJ12" s="66">
        <v>0</v>
      </c>
      <c r="AK12" s="66" t="str">
        <f t="shared" si="16"/>
        <v>0</v>
      </c>
      <c r="AL12" s="65">
        <f t="shared" si="17"/>
        <v>64.625</v>
      </c>
    </row>
    <row r="13" spans="1:38">
      <c r="A13" s="32" t="s">
        <v>355</v>
      </c>
      <c r="B13" s="62">
        <v>5.7</v>
      </c>
      <c r="C13" s="63">
        <f t="shared" si="0"/>
        <v>13.5</v>
      </c>
      <c r="D13" s="66">
        <v>1</v>
      </c>
      <c r="E13" s="66">
        <f t="shared" si="1"/>
        <v>1.5</v>
      </c>
      <c r="F13" s="62">
        <v>6.7</v>
      </c>
      <c r="G13" s="63">
        <f t="shared" si="2"/>
        <v>10.125</v>
      </c>
      <c r="H13" s="66">
        <v>0</v>
      </c>
      <c r="I13" s="66" t="str">
        <f t="shared" si="3"/>
        <v>0</v>
      </c>
      <c r="J13" s="61">
        <v>1.1900000000000001E-2</v>
      </c>
      <c r="K13" s="69">
        <f t="shared" si="4"/>
        <v>1.25</v>
      </c>
      <c r="L13" s="61">
        <v>-0.21970000000000001</v>
      </c>
      <c r="M13" s="69">
        <f t="shared" si="5"/>
        <v>1.25</v>
      </c>
      <c r="N13" s="62">
        <v>277.54000000000002</v>
      </c>
      <c r="O13" s="63">
        <f t="shared" si="6"/>
        <v>1.0625</v>
      </c>
      <c r="P13" s="63">
        <v>0</v>
      </c>
      <c r="Q13" s="63" t="str">
        <f t="shared" si="7"/>
        <v>0</v>
      </c>
      <c r="R13" s="59">
        <v>0.15620000000000001</v>
      </c>
      <c r="S13" s="69">
        <f t="shared" si="8"/>
        <v>6.75</v>
      </c>
      <c r="T13" s="68">
        <v>0</v>
      </c>
      <c r="U13" s="69" t="str">
        <f t="shared" si="9"/>
        <v>0</v>
      </c>
      <c r="V13" s="59">
        <v>0.1115</v>
      </c>
      <c r="W13" s="70">
        <f t="shared" si="10"/>
        <v>13.5</v>
      </c>
      <c r="X13" s="68">
        <v>1</v>
      </c>
      <c r="Y13" s="69">
        <f t="shared" si="11"/>
        <v>1.5</v>
      </c>
      <c r="Z13" s="59">
        <v>3.4099999999999998E-2</v>
      </c>
      <c r="AA13" s="70">
        <f t="shared" si="12"/>
        <v>10.125</v>
      </c>
      <c r="AB13" s="68">
        <v>0</v>
      </c>
      <c r="AC13" s="69" t="str">
        <f t="shared" si="18"/>
        <v>0</v>
      </c>
      <c r="AD13" s="60">
        <v>1.036</v>
      </c>
      <c r="AE13" s="67">
        <f t="shared" si="13"/>
        <v>1.0625</v>
      </c>
      <c r="AF13" s="68">
        <v>0</v>
      </c>
      <c r="AG13" s="67" t="str">
        <f t="shared" si="14"/>
        <v>0</v>
      </c>
      <c r="AH13" s="59">
        <v>0.1101</v>
      </c>
      <c r="AI13" s="63">
        <f t="shared" si="15"/>
        <v>6.75</v>
      </c>
      <c r="AJ13" s="66">
        <v>0</v>
      </c>
      <c r="AK13" s="66" t="str">
        <f t="shared" si="16"/>
        <v>0</v>
      </c>
      <c r="AL13" s="65">
        <f t="shared" si="17"/>
        <v>68.375</v>
      </c>
    </row>
    <row r="14" spans="1:38">
      <c r="B14" s="14"/>
      <c r="C14" s="14"/>
      <c r="D14" s="3"/>
      <c r="E14" s="3"/>
      <c r="F14" s="14"/>
      <c r="G14" s="14"/>
      <c r="H14" s="3"/>
      <c r="I14" s="3"/>
      <c r="J14" s="12"/>
      <c r="K14" s="12"/>
      <c r="L14" s="12"/>
      <c r="M14" s="64"/>
      <c r="N14" s="14"/>
      <c r="O14" s="63"/>
      <c r="P14" s="14"/>
      <c r="Q14" s="14"/>
      <c r="R14" s="12"/>
      <c r="S14" s="12"/>
      <c r="T14" s="22"/>
      <c r="U14" s="12"/>
      <c r="V14" s="12"/>
      <c r="W14" s="12"/>
      <c r="X14" s="22"/>
      <c r="Y14" s="12"/>
      <c r="Z14" s="12"/>
      <c r="AA14" s="12"/>
      <c r="AB14" s="22"/>
      <c r="AC14" s="12"/>
      <c r="AD14" s="13"/>
      <c r="AE14" s="13"/>
      <c r="AF14" s="22"/>
      <c r="AG14" s="13"/>
      <c r="AH14" s="12"/>
      <c r="AI14" s="12"/>
      <c r="AJ14" s="3"/>
      <c r="AK14" s="3"/>
      <c r="AL14" s="10"/>
    </row>
    <row r="15" spans="1:38" ht="18.75">
      <c r="A15" s="17" t="s">
        <v>60</v>
      </c>
      <c r="B15" s="17" t="s">
        <v>59</v>
      </c>
      <c r="C15" s="17"/>
      <c r="D15" s="17"/>
      <c r="E15" s="17"/>
      <c r="F15" s="17" t="s">
        <v>58</v>
      </c>
      <c r="G15" s="17"/>
      <c r="H15" s="16"/>
      <c r="I15" s="16"/>
      <c r="J15" s="16"/>
      <c r="K15" s="16"/>
      <c r="L15" s="16" t="s">
        <v>57</v>
      </c>
      <c r="M15" s="12"/>
      <c r="N15" s="14"/>
      <c r="O15" s="14"/>
      <c r="P15" s="14"/>
      <c r="Q15" s="14"/>
      <c r="R15" s="12"/>
      <c r="S15" s="12"/>
      <c r="T15" s="22"/>
      <c r="U15" s="12"/>
      <c r="V15" s="12"/>
      <c r="W15" s="12"/>
      <c r="X15" s="22"/>
      <c r="Y15" s="12"/>
      <c r="Z15" s="12"/>
      <c r="AA15" s="12"/>
      <c r="AB15" s="22"/>
      <c r="AC15" s="12"/>
      <c r="AD15" s="13"/>
      <c r="AE15" s="13"/>
      <c r="AF15" s="22"/>
      <c r="AG15" s="13"/>
      <c r="AH15" s="12"/>
      <c r="AI15" s="12"/>
      <c r="AJ15" s="3"/>
      <c r="AK15" s="3"/>
      <c r="AL15" s="10"/>
    </row>
    <row r="16" spans="1:38" ht="17.25">
      <c r="A16" s="11" t="s">
        <v>56</v>
      </c>
      <c r="B16" s="9">
        <v>13.5</v>
      </c>
      <c r="C16" s="9"/>
      <c r="D16" s="10"/>
      <c r="E16" s="10"/>
      <c r="F16" s="9">
        <v>1.5</v>
      </c>
      <c r="G16" s="9"/>
      <c r="H16" s="8"/>
      <c r="I16" s="8"/>
      <c r="J16" s="8"/>
      <c r="K16" s="8"/>
      <c r="L16" s="9">
        <v>15</v>
      </c>
      <c r="M16" s="12"/>
      <c r="N16" s="62"/>
      <c r="O16" s="14"/>
      <c r="P16" s="14"/>
      <c r="Q16" s="14"/>
      <c r="R16" s="12"/>
      <c r="S16" s="12"/>
      <c r="T16" s="22"/>
      <c r="U16" s="12"/>
      <c r="V16" s="12"/>
      <c r="W16" s="12"/>
      <c r="X16" s="22"/>
      <c r="Y16" s="12"/>
      <c r="Z16" s="12"/>
      <c r="AA16" s="12"/>
      <c r="AB16" s="22"/>
      <c r="AC16" s="12"/>
      <c r="AD16" s="60"/>
      <c r="AE16" s="13"/>
      <c r="AF16" s="22"/>
      <c r="AG16" s="13"/>
      <c r="AH16" s="59"/>
      <c r="AI16" s="12"/>
      <c r="AJ16" s="3"/>
      <c r="AK16" s="3"/>
      <c r="AL16" s="10"/>
    </row>
    <row r="17" spans="1:38">
      <c r="A17" t="s">
        <v>323</v>
      </c>
      <c r="B17" s="3">
        <v>3.375</v>
      </c>
      <c r="C17" s="3"/>
      <c r="D17" s="3"/>
      <c r="E17" s="3"/>
      <c r="F17" s="3" t="s">
        <v>7</v>
      </c>
      <c r="G17" s="3"/>
      <c r="H17">
        <v>1.5</v>
      </c>
      <c r="M17" s="12"/>
      <c r="N17" s="62"/>
      <c r="O17" s="14"/>
      <c r="P17" s="14"/>
      <c r="Q17" s="14"/>
      <c r="R17" s="12"/>
      <c r="S17" s="12"/>
      <c r="T17" s="22"/>
      <c r="U17" s="12"/>
      <c r="V17" s="12"/>
      <c r="W17" s="12"/>
      <c r="X17" s="22"/>
      <c r="Y17" s="12"/>
      <c r="Z17" s="12"/>
      <c r="AA17" s="12"/>
      <c r="AB17" s="22"/>
      <c r="AC17" s="12"/>
      <c r="AD17" s="60"/>
      <c r="AE17" s="13"/>
      <c r="AF17" s="22"/>
      <c r="AG17" s="13"/>
      <c r="AH17" s="59"/>
      <c r="AI17" s="12"/>
      <c r="AJ17" s="3"/>
      <c r="AK17" s="3"/>
      <c r="AL17" s="10"/>
    </row>
    <row r="18" spans="1:38">
      <c r="A18" t="s">
        <v>322</v>
      </c>
      <c r="B18" s="3">
        <v>6.75</v>
      </c>
      <c r="C18" s="3"/>
      <c r="D18" s="3"/>
      <c r="E18" s="3"/>
      <c r="F18" s="3" t="s">
        <v>4</v>
      </c>
      <c r="G18" s="3"/>
      <c r="H18">
        <v>0</v>
      </c>
      <c r="M18" s="12"/>
      <c r="N18" s="62"/>
      <c r="O18" s="14"/>
      <c r="P18" s="14"/>
      <c r="Q18" s="14"/>
      <c r="R18" s="12"/>
      <c r="S18" s="12"/>
      <c r="T18" s="22"/>
      <c r="U18" s="12"/>
      <c r="V18" s="12"/>
      <c r="W18" s="12"/>
      <c r="X18" s="22"/>
      <c r="Y18" s="12"/>
      <c r="Z18" s="12"/>
      <c r="AA18" s="12"/>
      <c r="AB18" s="22"/>
      <c r="AC18" s="12"/>
      <c r="AD18" s="60"/>
      <c r="AE18" s="13"/>
      <c r="AF18" s="22"/>
      <c r="AG18" s="13"/>
      <c r="AH18" s="59"/>
      <c r="AI18" s="12"/>
      <c r="AJ18" s="3"/>
      <c r="AK18" s="3"/>
      <c r="AL18" s="10"/>
    </row>
    <row r="19" spans="1:38">
      <c r="A19" t="s">
        <v>321</v>
      </c>
      <c r="B19" s="3">
        <v>10.125</v>
      </c>
      <c r="C19" s="3"/>
      <c r="D19" s="3"/>
      <c r="E19" s="3"/>
      <c r="F19" s="3"/>
      <c r="G19" s="3"/>
      <c r="N19" s="62"/>
      <c r="AD19" s="60"/>
      <c r="AH19" s="59"/>
    </row>
    <row r="20" spans="1:38">
      <c r="A20" t="s">
        <v>320</v>
      </c>
      <c r="B20" s="3">
        <v>13.5</v>
      </c>
      <c r="C20" s="3"/>
      <c r="D20" s="3"/>
      <c r="E20" s="3"/>
      <c r="F20" s="3"/>
      <c r="G20" s="3"/>
      <c r="N20" s="62"/>
      <c r="O20" s="19"/>
      <c r="AD20" s="60"/>
      <c r="AH20" s="59"/>
    </row>
    <row r="21" spans="1:38">
      <c r="B21" s="3"/>
      <c r="C21" s="3"/>
      <c r="D21" s="3"/>
      <c r="E21" s="3"/>
      <c r="F21" s="3"/>
      <c r="G21" s="3"/>
      <c r="N21" s="62"/>
      <c r="AD21" s="60"/>
      <c r="AH21" s="59"/>
    </row>
    <row r="22" spans="1:38" ht="17.25">
      <c r="A22" s="11" t="s">
        <v>51</v>
      </c>
      <c r="B22" s="9">
        <v>13.5</v>
      </c>
      <c r="C22" s="9"/>
      <c r="D22" s="10"/>
      <c r="E22" s="10"/>
      <c r="F22" s="9">
        <v>1.5</v>
      </c>
      <c r="G22" s="9"/>
      <c r="H22" s="8"/>
      <c r="I22" s="8"/>
      <c r="J22" s="8"/>
      <c r="K22" s="8"/>
      <c r="L22" s="9">
        <v>15</v>
      </c>
      <c r="N22" s="62"/>
      <c r="AD22" s="60"/>
      <c r="AH22" s="59"/>
    </row>
    <row r="23" spans="1:38">
      <c r="A23" t="s">
        <v>319</v>
      </c>
      <c r="B23" s="3">
        <v>3.375</v>
      </c>
      <c r="C23" s="3"/>
      <c r="D23" s="3"/>
      <c r="E23" s="3"/>
      <c r="F23" s="3" t="s">
        <v>7</v>
      </c>
      <c r="G23" s="3"/>
      <c r="H23">
        <v>1.5</v>
      </c>
      <c r="N23" s="62"/>
      <c r="AD23" s="60"/>
      <c r="AH23" s="59"/>
    </row>
    <row r="24" spans="1:38">
      <c r="A24" t="s">
        <v>318</v>
      </c>
      <c r="B24" s="3">
        <v>6.75</v>
      </c>
      <c r="C24" s="3"/>
      <c r="D24" s="3"/>
      <c r="E24" s="3"/>
      <c r="F24" s="3" t="s">
        <v>4</v>
      </c>
      <c r="G24" s="3"/>
      <c r="H24">
        <v>0</v>
      </c>
      <c r="N24" s="62"/>
      <c r="AD24" s="60"/>
      <c r="AH24" s="59"/>
    </row>
    <row r="25" spans="1:38">
      <c r="A25" t="s">
        <v>317</v>
      </c>
      <c r="B25" s="3">
        <v>10.125</v>
      </c>
      <c r="C25" s="3"/>
      <c r="D25" s="3"/>
      <c r="E25" s="3"/>
      <c r="F25" s="3"/>
      <c r="G25" s="3"/>
      <c r="N25" s="62"/>
      <c r="AD25" s="60"/>
      <c r="AH25" s="59"/>
    </row>
    <row r="26" spans="1:38">
      <c r="A26" t="s">
        <v>316</v>
      </c>
      <c r="B26" s="3">
        <v>13.5</v>
      </c>
      <c r="C26" s="3"/>
      <c r="D26" s="3"/>
      <c r="E26" s="3"/>
      <c r="F26" s="3"/>
      <c r="G26" s="3"/>
      <c r="M26" s="9"/>
      <c r="N26" s="61"/>
    </row>
    <row r="27" spans="1:38">
      <c r="C27" s="3"/>
      <c r="D27" s="3"/>
      <c r="E27" s="3"/>
      <c r="F27" s="3"/>
      <c r="G27" s="3"/>
      <c r="N27" s="61"/>
    </row>
    <row r="28" spans="1:38">
      <c r="B28" s="3"/>
      <c r="C28" s="3"/>
      <c r="D28" s="3"/>
      <c r="E28" s="3"/>
      <c r="F28" s="3"/>
      <c r="G28" s="3"/>
    </row>
    <row r="29" spans="1:38" ht="17.25">
      <c r="A29" s="11" t="s">
        <v>46</v>
      </c>
      <c r="B29" s="5">
        <v>5</v>
      </c>
      <c r="C29" s="5"/>
      <c r="D29" s="3" t="s">
        <v>10</v>
      </c>
      <c r="E29" s="3"/>
      <c r="F29" s="3"/>
      <c r="G29" s="3"/>
      <c r="L29" s="2">
        <v>5</v>
      </c>
    </row>
    <row r="30" spans="1:38">
      <c r="A30" t="s">
        <v>354</v>
      </c>
      <c r="B30" s="3">
        <v>1.25</v>
      </c>
      <c r="C30" s="3"/>
      <c r="D30" s="3" t="s">
        <v>8</v>
      </c>
      <c r="E30" s="54">
        <f>QUARTILE(J4:J13,1)</f>
        <v>1.2200000000000001E-2</v>
      </c>
      <c r="F30" s="3"/>
      <c r="G30" s="3"/>
    </row>
    <row r="31" spans="1:38">
      <c r="A31" t="s">
        <v>353</v>
      </c>
      <c r="B31" s="3">
        <v>2.5</v>
      </c>
      <c r="C31" s="3"/>
      <c r="D31" s="3" t="s">
        <v>5</v>
      </c>
      <c r="E31" s="54">
        <f>QUARTILE(J4:J13,2)</f>
        <v>3.125E-2</v>
      </c>
      <c r="F31" s="3"/>
      <c r="G31" s="3"/>
    </row>
    <row r="32" spans="1:38">
      <c r="A32" t="s">
        <v>352</v>
      </c>
      <c r="B32" s="3">
        <v>3.75</v>
      </c>
      <c r="C32" s="3"/>
      <c r="D32" s="3" t="s">
        <v>2</v>
      </c>
      <c r="E32" s="54">
        <f>QUARTILE(J4:J13,3)</f>
        <v>5.2499999999999998E-2</v>
      </c>
      <c r="F32" s="3"/>
      <c r="G32" s="3"/>
    </row>
    <row r="33" spans="1:13">
      <c r="A33" t="s">
        <v>351</v>
      </c>
      <c r="B33" s="3">
        <v>5</v>
      </c>
      <c r="C33" s="3"/>
      <c r="D33" s="3"/>
      <c r="E33" s="3"/>
      <c r="F33" s="3"/>
      <c r="G33" s="3"/>
      <c r="M33" s="9"/>
    </row>
    <row r="34" spans="1:13">
      <c r="B34" s="3"/>
      <c r="C34" s="3"/>
      <c r="D34" s="3"/>
      <c r="E34" s="3"/>
      <c r="F34" s="3"/>
      <c r="G34" s="3"/>
    </row>
    <row r="35" spans="1:13" ht="17.25">
      <c r="A35" s="11" t="s">
        <v>41</v>
      </c>
      <c r="B35" s="5">
        <v>5</v>
      </c>
      <c r="C35" s="5"/>
      <c r="D35" s="3" t="s">
        <v>10</v>
      </c>
      <c r="E35" s="3"/>
      <c r="F35" s="3"/>
      <c r="G35" s="3"/>
      <c r="L35" s="2">
        <v>5</v>
      </c>
    </row>
    <row r="36" spans="1:13">
      <c r="A36" t="s">
        <v>350</v>
      </c>
      <c r="B36" s="3">
        <v>1.25</v>
      </c>
      <c r="C36" s="3"/>
      <c r="D36" s="3" t="s">
        <v>8</v>
      </c>
      <c r="E36" s="54">
        <f>QUARTILE(L4:L13,1)</f>
        <v>-0.42827499999999996</v>
      </c>
      <c r="F36" s="3"/>
      <c r="G36" s="3"/>
    </row>
    <row r="37" spans="1:13">
      <c r="A37" t="s">
        <v>349</v>
      </c>
      <c r="B37" s="3">
        <v>2.5</v>
      </c>
      <c r="C37" s="3"/>
      <c r="D37" s="3" t="s">
        <v>5</v>
      </c>
      <c r="E37" s="54">
        <f>QUARTILE(L4:L13,2)</f>
        <v>-0.21150000000000002</v>
      </c>
      <c r="F37" s="3"/>
      <c r="G37" s="3"/>
    </row>
    <row r="38" spans="1:13">
      <c r="A38" t="s">
        <v>348</v>
      </c>
      <c r="B38" s="3">
        <v>3.75</v>
      </c>
      <c r="C38" s="3"/>
      <c r="D38" s="3" t="s">
        <v>2</v>
      </c>
      <c r="E38" s="54">
        <f>QUARTILE(L4:L13,3)</f>
        <v>1.9466750000000002</v>
      </c>
      <c r="F38" s="3"/>
      <c r="G38" s="3"/>
    </row>
    <row r="39" spans="1:13">
      <c r="A39" t="s">
        <v>347</v>
      </c>
      <c r="B39" s="3">
        <v>5</v>
      </c>
      <c r="C39" s="3"/>
      <c r="D39" s="3"/>
      <c r="E39" s="3"/>
      <c r="F39" s="3"/>
      <c r="G39" s="3"/>
      <c r="M39" s="2"/>
    </row>
    <row r="40" spans="1:13">
      <c r="B40" s="3"/>
      <c r="C40" s="3"/>
      <c r="D40" s="3"/>
      <c r="E40" s="3"/>
      <c r="F40" s="3"/>
      <c r="G40" s="3"/>
    </row>
    <row r="41" spans="1:13" ht="34.5">
      <c r="A41" s="6" t="s">
        <v>36</v>
      </c>
      <c r="B41" s="5">
        <v>4.5</v>
      </c>
      <c r="C41" s="5"/>
      <c r="D41" s="3" t="s">
        <v>10</v>
      </c>
      <c r="E41" s="5"/>
      <c r="F41" s="5">
        <v>0.5</v>
      </c>
      <c r="G41" s="5"/>
      <c r="H41" s="7"/>
      <c r="I41" s="7"/>
      <c r="J41" s="7"/>
      <c r="K41" s="7"/>
      <c r="L41" s="5">
        <v>5</v>
      </c>
    </row>
    <row r="42" spans="1:13">
      <c r="A42" t="s">
        <v>346</v>
      </c>
      <c r="B42" s="3">
        <v>4.25</v>
      </c>
      <c r="C42" s="3"/>
      <c r="D42" s="3" t="s">
        <v>8</v>
      </c>
      <c r="E42" s="3">
        <f>QUARTILE(N4:N13,1)</f>
        <v>45.372500000000002</v>
      </c>
      <c r="F42" s="3" t="s">
        <v>7</v>
      </c>
      <c r="G42" s="3"/>
      <c r="H42">
        <v>0.5</v>
      </c>
    </row>
    <row r="43" spans="1:13">
      <c r="A43" t="s">
        <v>345</v>
      </c>
      <c r="B43" s="3">
        <v>3.1875</v>
      </c>
      <c r="C43" s="3"/>
      <c r="D43" s="3" t="s">
        <v>5</v>
      </c>
      <c r="E43" s="3">
        <f>QUARTILE(N4:N13,2)</f>
        <v>167.33500000000001</v>
      </c>
      <c r="F43" s="3" t="s">
        <v>4</v>
      </c>
      <c r="G43" s="3"/>
      <c r="H43">
        <v>0</v>
      </c>
    </row>
    <row r="44" spans="1:13">
      <c r="A44" t="s">
        <v>344</v>
      </c>
      <c r="B44" s="3">
        <v>2.125</v>
      </c>
      <c r="C44" s="3"/>
      <c r="D44" s="3" t="s">
        <v>2</v>
      </c>
      <c r="E44" s="3">
        <f>QUARTILE(N4:N13,3)</f>
        <v>225.86500000000001</v>
      </c>
      <c r="F44" s="3"/>
      <c r="G44" s="3"/>
    </row>
    <row r="45" spans="1:13">
      <c r="A45" t="s">
        <v>343</v>
      </c>
      <c r="B45" s="3">
        <v>1.0625</v>
      </c>
      <c r="C45" s="3"/>
      <c r="D45" s="3"/>
      <c r="E45" s="3"/>
      <c r="F45" s="3"/>
      <c r="G45" s="3"/>
      <c r="M45" s="2"/>
    </row>
    <row r="46" spans="1:13">
      <c r="B46" s="3"/>
      <c r="C46" s="3"/>
      <c r="D46" s="3"/>
      <c r="E46" s="3"/>
      <c r="F46" s="3"/>
      <c r="G46" s="3"/>
    </row>
    <row r="47" spans="1:13" ht="34.5">
      <c r="A47" s="6" t="s">
        <v>31</v>
      </c>
      <c r="B47" s="5">
        <v>9</v>
      </c>
      <c r="C47" s="5"/>
      <c r="D47" s="5"/>
      <c r="E47" s="5"/>
      <c r="F47" s="5">
        <v>1</v>
      </c>
      <c r="G47" s="5"/>
      <c r="H47" s="7"/>
      <c r="I47" s="7"/>
      <c r="J47" s="7"/>
      <c r="K47" s="7"/>
      <c r="L47" s="5">
        <v>10</v>
      </c>
    </row>
    <row r="48" spans="1:13">
      <c r="A48" t="s">
        <v>303</v>
      </c>
      <c r="B48" s="3">
        <v>2.25</v>
      </c>
      <c r="C48" s="3"/>
      <c r="D48" s="3"/>
      <c r="E48" s="3"/>
      <c r="F48" s="3" t="s">
        <v>7</v>
      </c>
      <c r="G48" s="3"/>
      <c r="H48">
        <v>1</v>
      </c>
    </row>
    <row r="49" spans="1:13">
      <c r="A49" t="s">
        <v>302</v>
      </c>
      <c r="B49" s="3">
        <v>4.5</v>
      </c>
      <c r="C49" s="3"/>
      <c r="D49" s="3"/>
      <c r="E49" s="3"/>
      <c r="F49" s="3" t="s">
        <v>4</v>
      </c>
      <c r="G49" s="3"/>
      <c r="H49">
        <v>0</v>
      </c>
    </row>
    <row r="50" spans="1:13">
      <c r="A50" t="s">
        <v>301</v>
      </c>
      <c r="B50" s="3">
        <v>6.75</v>
      </c>
      <c r="C50" s="3"/>
      <c r="D50" s="3"/>
      <c r="E50" s="3"/>
      <c r="F50" s="3"/>
      <c r="G50" s="3"/>
    </row>
    <row r="51" spans="1:13">
      <c r="A51" t="s">
        <v>300</v>
      </c>
      <c r="B51" s="3">
        <v>9</v>
      </c>
      <c r="C51" s="3"/>
      <c r="D51" s="3"/>
      <c r="E51" s="3"/>
      <c r="F51" s="3"/>
      <c r="G51" s="3"/>
      <c r="M51" s="5"/>
    </row>
    <row r="52" spans="1:13">
      <c r="B52" s="3"/>
      <c r="C52" s="3"/>
      <c r="D52" s="3"/>
      <c r="E52" s="3"/>
      <c r="F52" s="3"/>
      <c r="G52" s="3"/>
    </row>
    <row r="53" spans="1:13" ht="34.5">
      <c r="A53" s="6" t="s">
        <v>26</v>
      </c>
      <c r="B53" s="9">
        <v>13.5</v>
      </c>
      <c r="C53" s="9"/>
      <c r="D53" s="10"/>
      <c r="E53" s="10"/>
      <c r="F53" s="9">
        <v>1.5</v>
      </c>
      <c r="G53" s="9"/>
      <c r="H53" s="8"/>
      <c r="I53" s="8"/>
      <c r="J53" s="8"/>
      <c r="K53" s="8"/>
      <c r="L53" s="9">
        <v>15</v>
      </c>
    </row>
    <row r="54" spans="1:13">
      <c r="A54" t="s">
        <v>299</v>
      </c>
      <c r="B54" s="3">
        <v>3.375</v>
      </c>
      <c r="C54" s="3"/>
      <c r="D54" s="3"/>
      <c r="E54" s="3"/>
      <c r="F54" s="3" t="s">
        <v>7</v>
      </c>
      <c r="G54" s="3"/>
      <c r="H54">
        <v>1.5</v>
      </c>
    </row>
    <row r="55" spans="1:13">
      <c r="A55" t="s">
        <v>298</v>
      </c>
      <c r="B55" s="3">
        <v>6.75</v>
      </c>
      <c r="C55" s="3"/>
      <c r="D55" s="3"/>
      <c r="E55" s="3"/>
      <c r="F55" s="3" t="s">
        <v>4</v>
      </c>
      <c r="G55" s="3"/>
      <c r="H55">
        <v>0</v>
      </c>
    </row>
    <row r="56" spans="1:13">
      <c r="A56" t="s">
        <v>297</v>
      </c>
      <c r="B56" s="3">
        <v>10.125</v>
      </c>
      <c r="C56" s="3"/>
      <c r="D56" s="3"/>
      <c r="E56" s="3"/>
      <c r="F56" s="3"/>
      <c r="G56" s="3"/>
    </row>
    <row r="57" spans="1:13">
      <c r="A57" t="s">
        <v>296</v>
      </c>
      <c r="B57" s="3">
        <v>13.5</v>
      </c>
      <c r="C57" s="3"/>
      <c r="D57" s="3"/>
      <c r="E57" s="3"/>
      <c r="F57" s="3"/>
      <c r="G57" s="3"/>
      <c r="M57" s="5"/>
    </row>
    <row r="58" spans="1:13">
      <c r="B58" s="3"/>
      <c r="C58" s="3"/>
      <c r="D58" s="3"/>
      <c r="E58" s="3"/>
      <c r="F58" s="3"/>
      <c r="G58" s="3"/>
    </row>
    <row r="59" spans="1:13" ht="17.25">
      <c r="A59" s="6" t="s">
        <v>21</v>
      </c>
      <c r="B59" s="9">
        <v>13.5</v>
      </c>
      <c r="C59" s="9"/>
      <c r="D59" s="10"/>
      <c r="E59" s="10"/>
      <c r="F59" s="9">
        <v>1.5</v>
      </c>
      <c r="G59" s="9"/>
      <c r="H59" s="8"/>
      <c r="I59" s="8"/>
      <c r="J59" s="8"/>
      <c r="K59" s="8"/>
      <c r="L59" s="9">
        <v>15</v>
      </c>
    </row>
    <row r="60" spans="1:13">
      <c r="A60" t="s">
        <v>295</v>
      </c>
      <c r="B60" s="3">
        <v>3.375</v>
      </c>
      <c r="C60" s="3"/>
      <c r="D60" s="3"/>
      <c r="E60" s="3"/>
      <c r="F60" s="3" t="s">
        <v>7</v>
      </c>
      <c r="G60" s="3"/>
      <c r="H60">
        <v>1.5</v>
      </c>
    </row>
    <row r="61" spans="1:13">
      <c r="A61" t="s">
        <v>294</v>
      </c>
      <c r="B61" s="3">
        <v>6.75</v>
      </c>
      <c r="C61" s="3"/>
      <c r="D61" s="3"/>
      <c r="E61" s="3"/>
      <c r="F61" s="3" t="s">
        <v>4</v>
      </c>
      <c r="G61" s="3"/>
      <c r="H61">
        <v>0</v>
      </c>
    </row>
    <row r="62" spans="1:13">
      <c r="A62" t="s">
        <v>293</v>
      </c>
      <c r="B62" s="3">
        <v>10.125</v>
      </c>
      <c r="C62" s="3"/>
      <c r="D62" s="3"/>
      <c r="E62" s="3"/>
      <c r="F62" s="3"/>
      <c r="G62" s="3"/>
    </row>
    <row r="63" spans="1:13">
      <c r="A63" t="s">
        <v>292</v>
      </c>
      <c r="B63" s="3">
        <v>13.5</v>
      </c>
      <c r="C63" s="3"/>
      <c r="D63" s="3"/>
      <c r="E63" s="3"/>
      <c r="F63" s="3"/>
      <c r="G63" s="3"/>
      <c r="M63" s="5"/>
    </row>
    <row r="64" spans="1:13">
      <c r="B64" s="3"/>
      <c r="C64" s="3"/>
      <c r="D64" s="3"/>
      <c r="E64" s="3"/>
      <c r="F64" s="3"/>
      <c r="G64" s="3"/>
    </row>
    <row r="65" spans="1:14" ht="34.5">
      <c r="A65" s="6" t="s">
        <v>16</v>
      </c>
      <c r="B65" s="5">
        <v>4.5</v>
      </c>
      <c r="C65" s="5"/>
      <c r="D65" s="3" t="s">
        <v>10</v>
      </c>
      <c r="E65" s="5"/>
      <c r="F65" s="5">
        <v>0.5</v>
      </c>
      <c r="G65" s="5"/>
      <c r="H65" s="7"/>
      <c r="I65" s="7"/>
      <c r="J65" s="7"/>
      <c r="K65" s="7"/>
      <c r="L65" s="5">
        <v>5</v>
      </c>
    </row>
    <row r="66" spans="1:14">
      <c r="A66" t="s">
        <v>342</v>
      </c>
      <c r="B66" s="3">
        <v>4.25</v>
      </c>
      <c r="C66" s="3"/>
      <c r="D66" s="3" t="s">
        <v>8</v>
      </c>
      <c r="E66" s="3">
        <f>QUARTILE(AD4:AD13,1)</f>
        <v>1.03705</v>
      </c>
      <c r="F66" s="3" t="s">
        <v>7</v>
      </c>
      <c r="G66" s="3"/>
      <c r="H66">
        <v>0.5</v>
      </c>
    </row>
    <row r="67" spans="1:14">
      <c r="A67" t="s">
        <v>341</v>
      </c>
      <c r="B67" s="3">
        <v>3.1875</v>
      </c>
      <c r="C67" s="3"/>
      <c r="D67" s="3" t="s">
        <v>5</v>
      </c>
      <c r="E67" s="3">
        <f>QUARTILE(AD4:AD13,2)</f>
        <v>1.0613999999999999</v>
      </c>
      <c r="F67" s="3" t="s">
        <v>4</v>
      </c>
      <c r="G67" s="3"/>
      <c r="H67">
        <v>0</v>
      </c>
      <c r="N67" s="60"/>
    </row>
    <row r="68" spans="1:14">
      <c r="A68" t="s">
        <v>340</v>
      </c>
      <c r="B68" s="3">
        <v>2.125</v>
      </c>
      <c r="C68" s="3"/>
      <c r="D68" s="3" t="s">
        <v>2</v>
      </c>
      <c r="E68" s="3">
        <f>QUARTILE(AD4:AD13,3)</f>
        <v>1.1028</v>
      </c>
      <c r="F68" s="3"/>
      <c r="G68" s="3"/>
      <c r="N68" s="60"/>
    </row>
    <row r="69" spans="1:14">
      <c r="A69" t="s">
        <v>339</v>
      </c>
      <c r="B69" s="3">
        <v>1.0625</v>
      </c>
      <c r="C69" s="3"/>
      <c r="D69" s="3"/>
      <c r="E69" s="3"/>
      <c r="F69" s="3"/>
      <c r="G69" s="3"/>
      <c r="M69" s="5"/>
      <c r="N69" s="60"/>
    </row>
    <row r="70" spans="1:14">
      <c r="B70" s="3"/>
      <c r="C70" s="3"/>
      <c r="D70" s="3"/>
      <c r="E70" s="3"/>
      <c r="F70" s="3"/>
      <c r="G70" s="3"/>
      <c r="N70" s="60"/>
    </row>
    <row r="71" spans="1:14" ht="17.25">
      <c r="A71" s="6" t="s">
        <v>11</v>
      </c>
      <c r="B71" s="5">
        <v>9</v>
      </c>
      <c r="C71" s="5"/>
      <c r="D71" s="3" t="s">
        <v>10</v>
      </c>
      <c r="E71" s="5"/>
      <c r="F71" s="5">
        <v>1</v>
      </c>
      <c r="G71" s="5"/>
      <c r="H71" s="7"/>
      <c r="I71" s="5"/>
      <c r="J71" s="5"/>
      <c r="K71" s="5"/>
      <c r="L71" s="5">
        <v>10</v>
      </c>
      <c r="N71" s="60"/>
    </row>
    <row r="72" spans="1:14">
      <c r="A72" t="s">
        <v>338</v>
      </c>
      <c r="B72" s="3">
        <v>2.25</v>
      </c>
      <c r="C72" s="3"/>
      <c r="D72" s="3" t="s">
        <v>8</v>
      </c>
      <c r="E72" s="4">
        <f>QUARTILE(AH4:AH13,1)</f>
        <v>5.5610200656349751E-2</v>
      </c>
      <c r="F72" s="3" t="s">
        <v>7</v>
      </c>
      <c r="G72" s="3"/>
      <c r="H72">
        <v>1</v>
      </c>
      <c r="N72" s="60"/>
    </row>
    <row r="73" spans="1:14">
      <c r="A73" t="s">
        <v>337</v>
      </c>
      <c r="B73" s="3">
        <v>4.5</v>
      </c>
      <c r="C73" s="3"/>
      <c r="D73" s="3" t="s">
        <v>5</v>
      </c>
      <c r="E73" s="4">
        <f>QUARTILE(AH4:AH13,2)</f>
        <v>7.6451120650575077E-2</v>
      </c>
      <c r="F73" s="3" t="s">
        <v>4</v>
      </c>
      <c r="G73" s="3"/>
      <c r="H73">
        <v>0</v>
      </c>
      <c r="N73" s="60"/>
    </row>
    <row r="74" spans="1:14">
      <c r="A74" t="s">
        <v>336</v>
      </c>
      <c r="B74" s="3">
        <v>6.75</v>
      </c>
      <c r="C74" s="3"/>
      <c r="D74" s="3" t="s">
        <v>2</v>
      </c>
      <c r="E74" s="4">
        <f>QUARTILE(AH4:AH13,3)</f>
        <v>0.13277287130693183</v>
      </c>
      <c r="F74" s="3"/>
      <c r="G74" s="3"/>
      <c r="N74" s="60"/>
    </row>
    <row r="75" spans="1:14">
      <c r="A75" t="s">
        <v>335</v>
      </c>
      <c r="B75" s="3">
        <v>9</v>
      </c>
      <c r="C75" s="3"/>
      <c r="D75" s="3"/>
      <c r="E75" s="3"/>
      <c r="F75" s="3"/>
      <c r="G75" s="3"/>
      <c r="M75" s="5"/>
      <c r="N75" s="60"/>
    </row>
    <row r="76" spans="1:14">
      <c r="B76" s="3"/>
      <c r="C76" s="3"/>
      <c r="D76" s="3"/>
      <c r="E76" s="3"/>
      <c r="F76" s="3"/>
      <c r="G76" s="3"/>
      <c r="N76" s="60"/>
    </row>
    <row r="77" spans="1:14" ht="18.75">
      <c r="B77" s="504" t="s">
        <v>0</v>
      </c>
      <c r="C77" s="504"/>
      <c r="D77" s="504"/>
      <c r="E77" s="504"/>
      <c r="F77" s="504"/>
      <c r="G77" s="504"/>
      <c r="H77" s="504"/>
      <c r="I77" s="504"/>
      <c r="J77" s="504"/>
      <c r="K77" s="2"/>
      <c r="L77" s="1">
        <f>SUM(L16:L74)</f>
        <v>100</v>
      </c>
    </row>
    <row r="79" spans="1:14">
      <c r="D79" s="59"/>
    </row>
    <row r="80" spans="1:14">
      <c r="D80" s="59"/>
    </row>
    <row r="81" spans="4:13">
      <c r="D81" s="59"/>
      <c r="M81" s="5"/>
    </row>
    <row r="82" spans="4:13">
      <c r="D82" s="59"/>
    </row>
    <row r="83" spans="4:13">
      <c r="D83" s="59"/>
    </row>
    <row r="84" spans="4:13">
      <c r="D84" s="59"/>
    </row>
    <row r="85" spans="4:13">
      <c r="D85" s="59"/>
    </row>
    <row r="86" spans="4:13">
      <c r="D86" s="59"/>
    </row>
    <row r="87" spans="4:13" ht="18.75">
      <c r="D87" s="59"/>
      <c r="M87" s="1"/>
    </row>
    <row r="88" spans="4:13">
      <c r="D88" s="59"/>
    </row>
  </sheetData>
  <mergeCells count="2">
    <mergeCell ref="A1:AJ2"/>
    <mergeCell ref="B77:J77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F2" sqref="F2"/>
    </sheetView>
  </sheetViews>
  <sheetFormatPr defaultRowHeight="15"/>
  <cols>
    <col min="2" max="2" width="20.85546875" bestFit="1" customWidth="1"/>
    <col min="3" max="3" width="11.5703125" bestFit="1" customWidth="1"/>
    <col min="5" max="5" width="19.7109375" bestFit="1" customWidth="1"/>
    <col min="6" max="6" width="11.5703125" bestFit="1" customWidth="1"/>
    <col min="7" max="7" width="16.140625" bestFit="1" customWidth="1"/>
    <col min="8" max="8" width="19.7109375" bestFit="1" customWidth="1"/>
    <col min="9" max="9" width="16.42578125" bestFit="1" customWidth="1"/>
    <col min="10" max="10" width="19.7109375" bestFit="1" customWidth="1"/>
  </cols>
  <sheetData>
    <row r="1" spans="1:9">
      <c r="H1" s="3"/>
    </row>
    <row r="2" spans="1:9">
      <c r="A2" s="453"/>
      <c r="B2" s="77" t="s">
        <v>360</v>
      </c>
      <c r="C2" s="538" t="s">
        <v>93</v>
      </c>
      <c r="D2" s="39"/>
      <c r="E2" s="77" t="s">
        <v>281</v>
      </c>
      <c r="F2" s="77" t="s">
        <v>93</v>
      </c>
      <c r="G2" s="39" t="s">
        <v>359</v>
      </c>
      <c r="H2" s="39" t="s">
        <v>917</v>
      </c>
    </row>
    <row r="3" spans="1:9">
      <c r="A3" s="453">
        <v>1</v>
      </c>
      <c r="B3" s="539" t="s">
        <v>357</v>
      </c>
      <c r="C3" s="38">
        <v>77.69</v>
      </c>
      <c r="D3" s="39">
        <v>1</v>
      </c>
      <c r="E3" s="77" t="s">
        <v>330</v>
      </c>
      <c r="F3" s="38">
        <v>70.75</v>
      </c>
      <c r="G3" s="457">
        <v>4</v>
      </c>
      <c r="H3" s="38">
        <v>4.9400000000000004</v>
      </c>
    </row>
    <row r="4" spans="1:9">
      <c r="A4" s="453">
        <v>2</v>
      </c>
      <c r="B4" s="538" t="s">
        <v>332</v>
      </c>
      <c r="C4" s="453">
        <v>74.94</v>
      </c>
      <c r="D4" s="39">
        <v>2</v>
      </c>
      <c r="E4" s="77" t="s">
        <v>328</v>
      </c>
      <c r="F4" s="38">
        <v>68.38</v>
      </c>
      <c r="G4" s="457">
        <v>8</v>
      </c>
      <c r="H4" s="38">
        <v>26.13</v>
      </c>
    </row>
    <row r="5" spans="1:9">
      <c r="A5" s="453">
        <v>3</v>
      </c>
      <c r="B5" s="538" t="s">
        <v>355</v>
      </c>
      <c r="C5" s="38">
        <v>68.38</v>
      </c>
      <c r="D5" s="39">
        <v>3</v>
      </c>
      <c r="E5" s="77" t="s">
        <v>325</v>
      </c>
      <c r="F5" s="38">
        <v>66.38</v>
      </c>
      <c r="G5" s="457">
        <v>3</v>
      </c>
      <c r="H5" s="38">
        <v>1.75</v>
      </c>
    </row>
    <row r="6" spans="1:9">
      <c r="A6" s="453">
        <v>4</v>
      </c>
      <c r="B6" s="538" t="s">
        <v>329</v>
      </c>
      <c r="C6" s="38">
        <v>66.5</v>
      </c>
      <c r="D6" s="39">
        <v>4</v>
      </c>
      <c r="E6" s="77" t="s">
        <v>332</v>
      </c>
      <c r="F6" s="38">
        <v>66.31</v>
      </c>
      <c r="G6" s="458">
        <v>-2</v>
      </c>
      <c r="H6" s="38">
        <v>-8.6300000000000008</v>
      </c>
    </row>
    <row r="7" spans="1:9">
      <c r="A7" s="453">
        <v>5</v>
      </c>
      <c r="B7" s="538" t="s">
        <v>330</v>
      </c>
      <c r="C7" s="38">
        <v>65.81</v>
      </c>
      <c r="D7" s="39">
        <v>5</v>
      </c>
      <c r="E7" s="77" t="s">
        <v>326</v>
      </c>
      <c r="F7" s="38">
        <v>58.94</v>
      </c>
      <c r="G7" s="457">
        <v>2</v>
      </c>
      <c r="H7" s="38">
        <v>-5.56</v>
      </c>
    </row>
    <row r="8" spans="1:9">
      <c r="A8" s="453">
        <v>6</v>
      </c>
      <c r="B8" s="539" t="s">
        <v>356</v>
      </c>
      <c r="C8" s="38">
        <v>64.63</v>
      </c>
      <c r="D8" s="39">
        <v>6</v>
      </c>
      <c r="E8" s="77" t="s">
        <v>327</v>
      </c>
      <c r="F8" s="38">
        <v>58</v>
      </c>
      <c r="G8" s="39" t="s">
        <v>183</v>
      </c>
      <c r="H8" s="38" t="s">
        <v>183</v>
      </c>
    </row>
    <row r="9" spans="1:9">
      <c r="A9" s="453">
        <v>7</v>
      </c>
      <c r="B9" s="538" t="s">
        <v>326</v>
      </c>
      <c r="C9" s="38">
        <v>64.5</v>
      </c>
      <c r="D9" s="39">
        <v>7</v>
      </c>
      <c r="E9" s="77" t="s">
        <v>329</v>
      </c>
      <c r="F9" s="38">
        <v>54</v>
      </c>
      <c r="G9" s="458">
        <v>-3</v>
      </c>
      <c r="H9" s="38">
        <v>-12.5</v>
      </c>
    </row>
    <row r="10" spans="1:9">
      <c r="A10" s="453">
        <v>8</v>
      </c>
      <c r="B10" s="538" t="s">
        <v>331</v>
      </c>
      <c r="C10" s="38">
        <v>62.94</v>
      </c>
      <c r="D10" s="39">
        <v>8</v>
      </c>
      <c r="E10" s="77" t="s">
        <v>333</v>
      </c>
      <c r="F10" s="38">
        <v>48.44</v>
      </c>
      <c r="G10" s="457">
        <v>1</v>
      </c>
      <c r="H10" s="38">
        <v>-3.94</v>
      </c>
    </row>
    <row r="11" spans="1:9">
      <c r="A11" s="453">
        <v>9</v>
      </c>
      <c r="B11" s="538" t="s">
        <v>333</v>
      </c>
      <c r="C11" s="38">
        <v>52.38</v>
      </c>
      <c r="D11" s="39">
        <v>9</v>
      </c>
      <c r="E11" s="77" t="s">
        <v>331</v>
      </c>
      <c r="F11" s="38">
        <v>45.06</v>
      </c>
      <c r="G11" s="458">
        <v>-1</v>
      </c>
      <c r="H11" s="38">
        <v>-17.88</v>
      </c>
    </row>
    <row r="12" spans="1:9">
      <c r="A12" s="453">
        <v>10</v>
      </c>
      <c r="B12" s="538" t="s">
        <v>328</v>
      </c>
      <c r="C12" s="38">
        <v>42.25</v>
      </c>
      <c r="D12" s="39">
        <v>10</v>
      </c>
      <c r="E12" s="77" t="s">
        <v>324</v>
      </c>
      <c r="F12" s="38">
        <v>38.69</v>
      </c>
      <c r="G12" s="39" t="s">
        <v>183</v>
      </c>
      <c r="H12" s="38" t="s">
        <v>183</v>
      </c>
    </row>
    <row r="13" spans="1:9">
      <c r="G13" s="3"/>
      <c r="I13" s="76"/>
    </row>
    <row r="15" spans="1:9">
      <c r="G15" s="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L84"/>
  <sheetViews>
    <sheetView topLeftCell="A3" zoomScale="80" zoomScaleNormal="80" workbookViewId="0">
      <selection activeCell="AH17" sqref="AH17"/>
    </sheetView>
  </sheetViews>
  <sheetFormatPr defaultRowHeight="15"/>
  <cols>
    <col min="1" max="1" width="37.42578125" style="78" bestFit="1" customWidth="1"/>
    <col min="2" max="2" width="9.28515625" style="78" bestFit="1" customWidth="1"/>
    <col min="3" max="3" width="9.140625" style="78"/>
    <col min="4" max="4" width="15" style="78" customWidth="1"/>
    <col min="5" max="5" width="10.5703125" style="78" customWidth="1"/>
    <col min="6" max="6" width="9.28515625" style="78" bestFit="1" customWidth="1"/>
    <col min="7" max="7" width="9.140625" style="78"/>
    <col min="8" max="9" width="8" style="78" customWidth="1"/>
    <col min="10" max="10" width="16.28515625" style="78" customWidth="1"/>
    <col min="11" max="11" width="10" style="78" customWidth="1"/>
    <col min="12" max="12" width="20.140625" style="78" bestFit="1" customWidth="1"/>
    <col min="13" max="13" width="9.85546875" style="78" customWidth="1"/>
    <col min="14" max="14" width="17.28515625" style="78" bestFit="1" customWidth="1"/>
    <col min="15" max="15" width="8.5703125" style="78" customWidth="1"/>
    <col min="16" max="16" width="6.7109375" style="78" customWidth="1"/>
    <col min="17" max="17" width="9" style="78" customWidth="1"/>
    <col min="18" max="18" width="14.5703125" style="78" customWidth="1"/>
    <col min="19" max="19" width="9.5703125" style="78" customWidth="1"/>
    <col min="20" max="20" width="7.7109375" style="78" customWidth="1"/>
    <col min="21" max="21" width="8.28515625" style="78" customWidth="1"/>
    <col min="22" max="22" width="20.5703125" style="78" customWidth="1"/>
    <col min="23" max="23" width="10" style="78" customWidth="1"/>
    <col min="24" max="24" width="7" style="78" customWidth="1"/>
    <col min="25" max="25" width="8.7109375" style="78" customWidth="1"/>
    <col min="26" max="26" width="14.5703125" style="78" bestFit="1" customWidth="1"/>
    <col min="27" max="27" width="9.140625" style="78"/>
    <col min="28" max="28" width="6.42578125" style="78" customWidth="1"/>
    <col min="29" max="29" width="8.85546875" style="78" customWidth="1"/>
    <col min="30" max="30" width="15.140625" style="78" bestFit="1" customWidth="1"/>
    <col min="31" max="31" width="9.5703125" style="78" customWidth="1"/>
    <col min="32" max="33" width="8" style="78" customWidth="1"/>
    <col min="34" max="34" width="11.42578125" style="78" bestFit="1" customWidth="1"/>
    <col min="35" max="35" width="9.7109375" style="78" customWidth="1"/>
    <col min="36" max="36" width="7.85546875" style="78" customWidth="1"/>
    <col min="37" max="37" width="9.140625" style="78"/>
    <col min="38" max="38" width="12" style="78" bestFit="1" customWidth="1"/>
    <col min="39" max="16384" width="9.140625" style="78"/>
  </cols>
  <sheetData>
    <row r="1" spans="1:38">
      <c r="A1" s="506" t="s">
        <v>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8"/>
    </row>
    <row r="2" spans="1:38">
      <c r="A2" s="509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1"/>
    </row>
    <row r="3" spans="1:38" ht="45" customHeight="1">
      <c r="A3" s="114" t="s">
        <v>97</v>
      </c>
      <c r="B3" s="113" t="s">
        <v>96</v>
      </c>
      <c r="C3" s="109" t="s">
        <v>93</v>
      </c>
      <c r="D3" s="109" t="s">
        <v>95</v>
      </c>
      <c r="E3" s="109" t="s">
        <v>93</v>
      </c>
      <c r="F3" s="113" t="s">
        <v>94</v>
      </c>
      <c r="G3" s="109" t="s">
        <v>83</v>
      </c>
      <c r="H3" s="109" t="s">
        <v>84</v>
      </c>
      <c r="I3" s="109" t="s">
        <v>93</v>
      </c>
      <c r="J3" s="112" t="s">
        <v>92</v>
      </c>
      <c r="K3" s="109" t="s">
        <v>83</v>
      </c>
      <c r="L3" s="111" t="s">
        <v>91</v>
      </c>
      <c r="M3" s="109" t="s">
        <v>83</v>
      </c>
      <c r="N3" s="109" t="s">
        <v>90</v>
      </c>
      <c r="O3" s="109" t="s">
        <v>83</v>
      </c>
      <c r="P3" s="110" t="s">
        <v>84</v>
      </c>
      <c r="Q3" s="109" t="s">
        <v>83</v>
      </c>
      <c r="R3" s="110" t="s">
        <v>89</v>
      </c>
      <c r="S3" s="109" t="s">
        <v>83</v>
      </c>
      <c r="T3" s="109" t="s">
        <v>84</v>
      </c>
      <c r="U3" s="109" t="s">
        <v>83</v>
      </c>
      <c r="V3" s="109" t="s">
        <v>88</v>
      </c>
      <c r="W3" s="109" t="s">
        <v>83</v>
      </c>
      <c r="X3" s="109" t="s">
        <v>84</v>
      </c>
      <c r="Y3" s="109" t="s">
        <v>83</v>
      </c>
      <c r="Z3" s="109" t="s">
        <v>87</v>
      </c>
      <c r="AA3" s="109" t="s">
        <v>83</v>
      </c>
      <c r="AB3" s="109" t="s">
        <v>84</v>
      </c>
      <c r="AC3" s="109" t="s">
        <v>83</v>
      </c>
      <c r="AD3" s="110" t="s">
        <v>86</v>
      </c>
      <c r="AE3" s="109" t="s">
        <v>83</v>
      </c>
      <c r="AF3" s="110" t="s">
        <v>84</v>
      </c>
      <c r="AG3" s="109" t="s">
        <v>83</v>
      </c>
      <c r="AH3" s="110" t="s">
        <v>85</v>
      </c>
      <c r="AI3" s="109" t="s">
        <v>83</v>
      </c>
      <c r="AJ3" s="110" t="s">
        <v>84</v>
      </c>
      <c r="AK3" s="109" t="s">
        <v>83</v>
      </c>
      <c r="AL3" s="108" t="s">
        <v>82</v>
      </c>
    </row>
    <row r="4" spans="1:38">
      <c r="A4" s="105" t="s">
        <v>415</v>
      </c>
      <c r="B4" s="104">
        <v>11.3</v>
      </c>
      <c r="C4" s="104">
        <f t="shared" ref="C4:C15" si="0">IF(B4&gt;18.8,$B$27,IF(B4&lt;=-7.175,$B$24,IF(AND(B4&gt;-7.175,B4&lt;=2.4),$B$25,$B$26)))</f>
        <v>10.125</v>
      </c>
      <c r="D4" s="98">
        <v>0</v>
      </c>
      <c r="E4" s="98" t="str">
        <f t="shared" ref="E4:E15" si="1">IF(D4=0,"0",$H$24)</f>
        <v>0</v>
      </c>
      <c r="F4" s="104">
        <v>13.1</v>
      </c>
      <c r="G4" s="104">
        <f t="shared" ref="G4:G15" si="2">IF(F4&gt;62.85,$B$33,IF(F4&lt;=-0.3,$B$30,IF(AND(F4&gt;-0.3,F4&lt;=13.3),$B$31,$B$32)))</f>
        <v>6.75</v>
      </c>
      <c r="H4" s="98">
        <v>0</v>
      </c>
      <c r="I4" s="98" t="str">
        <f t="shared" ref="I4:I15" si="3">IF(H4=0,"0",$H$31)</f>
        <v>0</v>
      </c>
      <c r="J4" s="100">
        <v>5.6109654756849148E-2</v>
      </c>
      <c r="K4" s="99">
        <f t="shared" ref="K4:K15" si="4">IF(J4&gt;QUARTILE($J$4:$J$15,3),$B$40,IF(AND(J4&lt;=QUARTILE($J$4:$J$15,3),J4&gt;QUARTILE($J$4:$J$15,2)),$B$39,IF(AND(J4&lt;=QUARTILE($J$4:$J$15,2),J4&gt;QUARTILE($J$4:$J$15,1)),$B$38,$B$37)))</f>
        <v>3.75</v>
      </c>
      <c r="L4" s="100">
        <v>-0.14809054164934321</v>
      </c>
      <c r="M4" s="99">
        <f t="shared" ref="M4:M15" si="5">IF(L4&gt;QUARTILE($L$4:$L$15,3),$B$46,IF(AND(L4&lt;=QUARTILE($L$4:$L$15,3),L4&gt;QUARTILE($L$4:$L$15,2)),$B$45,IF(AND(L4&lt;=QUARTILE($L$4:$L$15,2),L4&gt;QUARTILE($L$4:$L$15,1)),$B$44,$B$43)))</f>
        <v>3.75</v>
      </c>
      <c r="N4" s="104">
        <v>-91.16</v>
      </c>
      <c r="O4" s="104">
        <f t="shared" ref="O4:O15" si="6">IF(N4&gt;QUARTILE($N$4:$N$15,3),$B$52,IF(AND(N4&lt;=QUARTILE($N$4:$N$15,3),N4&gt;QUARTILE($N$4:$N$15,2)),$B$51,IF(AND(N4&lt;=QUARTILE($N$4:$N$15,2),N4&gt;QUARTILE($N$4:$N$15,1)),$B$50,$B$49)))</f>
        <v>4.5</v>
      </c>
      <c r="P4" s="43">
        <v>1</v>
      </c>
      <c r="Q4" s="104">
        <f t="shared" ref="Q4:Q15" si="7">IF(P4=0,"0",$J$49)</f>
        <v>0.5</v>
      </c>
      <c r="R4" s="100">
        <v>0.44340000000000002</v>
      </c>
      <c r="S4" s="99" t="str">
        <f t="shared" ref="S4:S15" si="8">IF(R4&gt;23.89%,"9",IF(R4&lt;=-3.6%,"2,25",IF(AND(R4&gt;-3.6%,R4&lt;=7.5%),"4,5","6,75")))</f>
        <v>9</v>
      </c>
      <c r="T4" s="102">
        <v>0</v>
      </c>
      <c r="U4" s="102" t="str">
        <f t="shared" ref="U4:U15" si="9">IF(T4=0,"0",$J$55)</f>
        <v>0</v>
      </c>
      <c r="V4" s="100">
        <v>0.24640000000000001</v>
      </c>
      <c r="W4" s="99" t="str">
        <f t="shared" ref="W4:W15" si="10">IF(V4&gt;17.69%,"13,5",IF(V4&lt;=-6.09%,"3,375",IF(AND(V4&gt;-6.09%,V4&lt;=4.01%),"6,75","10,125")))</f>
        <v>13,5</v>
      </c>
      <c r="X4" s="102">
        <v>0</v>
      </c>
      <c r="Y4" s="101" t="str">
        <f t="shared" ref="Y4:Y15" si="11">IF(X4=0,"0",$J$61)</f>
        <v>0</v>
      </c>
      <c r="Z4" s="100">
        <v>0.2167</v>
      </c>
      <c r="AA4" s="99" t="str">
        <f t="shared" ref="AA4:AA15" si="12">IF(Z4&gt;13.07%,"13,5",IF(Z4&lt;=-10.86%,"3,375",IF(AND(Z4&gt;-10.86%,Z4&lt;=1.91%),"6,75","10,125")))</f>
        <v>13,5</v>
      </c>
      <c r="AB4" s="117">
        <v>0</v>
      </c>
      <c r="AC4" s="101" t="str">
        <f t="shared" ref="AC4:AC15" si="13">IF(AB4=0,"0",$J$67)</f>
        <v>0</v>
      </c>
      <c r="AD4" s="103">
        <v>1.3269279237440621</v>
      </c>
      <c r="AE4" s="101">
        <f t="shared" ref="AE4:AE15" si="14">IF(AD4&gt;QUARTILE($AD$4:$AD$15,3),$B$76,IF(AND(AD4&lt;=QUARTILE($AD$4:$AD$15,3),AD4&gt;QUARTILE($AD$4:$AD$15,2)),$B$75,IF(AND(AD4&lt;=QUARTILE($AD$4:$AD$15,2),AD4&gt;QUARTILE($AD$4:$AD$15,1)),$B$74,$B$73)))</f>
        <v>4.5</v>
      </c>
      <c r="AF4" s="102">
        <v>0</v>
      </c>
      <c r="AG4" s="101" t="str">
        <f t="shared" ref="AG4:AG15" si="15">IF(AF4=0,"0",$J$73)</f>
        <v>0</v>
      </c>
      <c r="AH4" s="100">
        <v>0.17738755199025039</v>
      </c>
      <c r="AI4" s="99">
        <f t="shared" ref="AI4:AI15" si="16">IF(AH4&gt;QUARTILE($AH$4:$AH$15,3),$B$82,IF(AND(AH4&lt;=QUARTILE($AH$4:$AH$15,3),AH4&gt;QUARTILE($AH$4:$AH$15,2)),$B$81,IF(AND(AH4&lt;=QUARTILE($AH$4:$AH$15,2),AH4&gt;QUARTILE($AH$4:$AH$15,1)),$B$80,$B$79)))</f>
        <v>6.75</v>
      </c>
      <c r="AJ4" s="98">
        <v>0</v>
      </c>
      <c r="AK4" s="98" t="str">
        <f t="shared" ref="AK4:AK15" si="17">IF(AJ4=0,"0",$J$79)</f>
        <v>0</v>
      </c>
      <c r="AL4" s="97">
        <f t="shared" ref="AL4:AL15" si="18">C4+E4+G4+I4+K4+M4+O4+Q4+S4+U4+W4+Y4+AA4+AC4+AE4+AG4+AI4+AK4</f>
        <v>76.625</v>
      </c>
    </row>
    <row r="5" spans="1:38">
      <c r="A5" s="105" t="s">
        <v>414</v>
      </c>
      <c r="B5" s="104">
        <v>7.1</v>
      </c>
      <c r="C5" s="104">
        <f t="shared" si="0"/>
        <v>10.125</v>
      </c>
      <c r="D5" s="98">
        <v>0</v>
      </c>
      <c r="E5" s="98" t="str">
        <f t="shared" si="1"/>
        <v>0</v>
      </c>
      <c r="F5" s="104">
        <v>23.4</v>
      </c>
      <c r="G5" s="104">
        <f t="shared" si="2"/>
        <v>10.125</v>
      </c>
      <c r="H5" s="98">
        <v>0</v>
      </c>
      <c r="I5" s="98" t="str">
        <f t="shared" si="3"/>
        <v>0</v>
      </c>
      <c r="J5" s="100">
        <v>-6.1499999999999999E-2</v>
      </c>
      <c r="K5" s="99">
        <f t="shared" si="4"/>
        <v>1.25</v>
      </c>
      <c r="L5" s="100">
        <v>-0.54006656607484038</v>
      </c>
      <c r="M5" s="99">
        <f t="shared" si="5"/>
        <v>2.5</v>
      </c>
      <c r="N5" s="104">
        <v>-66.459999999999994</v>
      </c>
      <c r="O5" s="104">
        <f t="shared" si="6"/>
        <v>3.375</v>
      </c>
      <c r="P5" s="43">
        <v>0</v>
      </c>
      <c r="Q5" s="104" t="str">
        <f t="shared" si="7"/>
        <v>0</v>
      </c>
      <c r="R5" s="100">
        <v>0.24829999999999999</v>
      </c>
      <c r="S5" s="99" t="str">
        <f t="shared" si="8"/>
        <v>9</v>
      </c>
      <c r="T5" s="102">
        <v>0</v>
      </c>
      <c r="U5" s="102" t="str">
        <f t="shared" si="9"/>
        <v>0</v>
      </c>
      <c r="V5" s="100">
        <v>0.1017</v>
      </c>
      <c r="W5" s="99" t="str">
        <f t="shared" si="10"/>
        <v>10,125</v>
      </c>
      <c r="X5" s="102">
        <v>0</v>
      </c>
      <c r="Y5" s="101" t="str">
        <f t="shared" si="11"/>
        <v>0</v>
      </c>
      <c r="Z5" s="100">
        <v>6.2399999999999997E-2</v>
      </c>
      <c r="AA5" s="99" t="str">
        <f t="shared" si="12"/>
        <v>10,125</v>
      </c>
      <c r="AB5" s="117">
        <v>0</v>
      </c>
      <c r="AC5" s="101" t="str">
        <f t="shared" si="13"/>
        <v>0</v>
      </c>
      <c r="AD5" s="103">
        <v>1.1132663567365175</v>
      </c>
      <c r="AE5" s="116">
        <f t="shared" si="14"/>
        <v>3.375</v>
      </c>
      <c r="AF5" s="102">
        <v>0</v>
      </c>
      <c r="AG5" s="101" t="str">
        <f t="shared" si="15"/>
        <v>0</v>
      </c>
      <c r="AH5" s="100">
        <v>0.12362395647881565</v>
      </c>
      <c r="AI5" s="99">
        <f t="shared" si="16"/>
        <v>4.5</v>
      </c>
      <c r="AJ5" s="98">
        <v>0</v>
      </c>
      <c r="AK5" s="98" t="str">
        <f t="shared" si="17"/>
        <v>0</v>
      </c>
      <c r="AL5" s="97">
        <f t="shared" si="18"/>
        <v>64.5</v>
      </c>
    </row>
    <row r="6" spans="1:38">
      <c r="A6" s="105" t="s">
        <v>413</v>
      </c>
      <c r="B6" s="107">
        <v>-45.4</v>
      </c>
      <c r="C6" s="104">
        <f t="shared" si="0"/>
        <v>3.375</v>
      </c>
      <c r="D6" s="98">
        <v>0</v>
      </c>
      <c r="E6" s="98" t="str">
        <f t="shared" si="1"/>
        <v>0</v>
      </c>
      <c r="F6" s="119">
        <v>-536.70000000000005</v>
      </c>
      <c r="G6" s="104">
        <f t="shared" si="2"/>
        <v>3.375</v>
      </c>
      <c r="H6" s="98">
        <v>0</v>
      </c>
      <c r="I6" s="98" t="str">
        <f t="shared" si="3"/>
        <v>0</v>
      </c>
      <c r="J6" s="100">
        <v>9.9900000000000003E-2</v>
      </c>
      <c r="K6" s="99">
        <f t="shared" si="4"/>
        <v>3.75</v>
      </c>
      <c r="L6" s="100">
        <v>-0.82328934987636493</v>
      </c>
      <c r="M6" s="99">
        <f t="shared" si="5"/>
        <v>1.25</v>
      </c>
      <c r="N6" s="104">
        <v>12.65</v>
      </c>
      <c r="O6" s="104">
        <f t="shared" si="6"/>
        <v>2.25</v>
      </c>
      <c r="P6" s="43">
        <v>1</v>
      </c>
      <c r="Q6" s="104">
        <f t="shared" si="7"/>
        <v>0.5</v>
      </c>
      <c r="R6" s="100">
        <v>-0.26140000000000002</v>
      </c>
      <c r="S6" s="99" t="str">
        <f t="shared" si="8"/>
        <v>2,25</v>
      </c>
      <c r="T6" s="102">
        <v>0</v>
      </c>
      <c r="U6" s="102" t="str">
        <f t="shared" si="9"/>
        <v>0</v>
      </c>
      <c r="V6" s="100">
        <v>-0.32869999999999999</v>
      </c>
      <c r="W6" s="99" t="str">
        <f t="shared" si="10"/>
        <v>3,375</v>
      </c>
      <c r="X6" s="102">
        <v>0</v>
      </c>
      <c r="Y6" s="101" t="str">
        <f t="shared" si="11"/>
        <v>0</v>
      </c>
      <c r="Z6" s="100">
        <v>-0.35149999999999998</v>
      </c>
      <c r="AA6" s="99" t="str">
        <f t="shared" si="12"/>
        <v>3,375</v>
      </c>
      <c r="AB6" s="117">
        <v>0</v>
      </c>
      <c r="AC6" s="101" t="str">
        <f t="shared" si="13"/>
        <v>0</v>
      </c>
      <c r="AD6" s="103">
        <v>0.75264234016666287</v>
      </c>
      <c r="AE6" s="116">
        <f t="shared" si="14"/>
        <v>1.125</v>
      </c>
      <c r="AF6" s="102">
        <v>0</v>
      </c>
      <c r="AG6" s="101" t="str">
        <f t="shared" si="15"/>
        <v>0</v>
      </c>
      <c r="AH6" s="100">
        <v>-0.11975558507845017</v>
      </c>
      <c r="AI6" s="99">
        <f t="shared" si="16"/>
        <v>2.25</v>
      </c>
      <c r="AJ6" s="98">
        <v>0</v>
      </c>
      <c r="AK6" s="98" t="str">
        <f t="shared" si="17"/>
        <v>0</v>
      </c>
      <c r="AL6" s="97">
        <f t="shared" si="18"/>
        <v>26.875</v>
      </c>
    </row>
    <row r="7" spans="1:38">
      <c r="A7" s="105" t="s">
        <v>412</v>
      </c>
      <c r="B7" s="104">
        <v>5.0999999999999996</v>
      </c>
      <c r="C7" s="104">
        <f t="shared" si="0"/>
        <v>10.125</v>
      </c>
      <c r="D7" s="98">
        <v>1</v>
      </c>
      <c r="E7" s="98">
        <f t="shared" si="1"/>
        <v>1.5</v>
      </c>
      <c r="F7" s="104">
        <v>12.9</v>
      </c>
      <c r="G7" s="104">
        <f t="shared" si="2"/>
        <v>6.75</v>
      </c>
      <c r="H7" s="98">
        <v>1</v>
      </c>
      <c r="I7" s="98">
        <f t="shared" si="3"/>
        <v>1.5</v>
      </c>
      <c r="J7" s="100">
        <v>0.23300000000000001</v>
      </c>
      <c r="K7" s="99">
        <f t="shared" si="4"/>
        <v>5</v>
      </c>
      <c r="L7" s="100">
        <v>0.5148105827546805</v>
      </c>
      <c r="M7" s="99">
        <f t="shared" si="5"/>
        <v>5</v>
      </c>
      <c r="N7" s="104">
        <v>0</v>
      </c>
      <c r="O7" s="104">
        <f t="shared" si="6"/>
        <v>3.375</v>
      </c>
      <c r="P7" s="43">
        <v>1</v>
      </c>
      <c r="Q7" s="104">
        <f t="shared" si="7"/>
        <v>0.5</v>
      </c>
      <c r="R7" s="100">
        <v>0.1547</v>
      </c>
      <c r="S7" s="99" t="str">
        <f t="shared" si="8"/>
        <v>6,75</v>
      </c>
      <c r="T7" s="102">
        <v>1</v>
      </c>
      <c r="U7" s="102">
        <f t="shared" si="9"/>
        <v>1</v>
      </c>
      <c r="V7" s="100">
        <v>2.1700000000000001E-2</v>
      </c>
      <c r="W7" s="99" t="str">
        <f t="shared" si="10"/>
        <v>6,75</v>
      </c>
      <c r="X7" s="102">
        <v>0</v>
      </c>
      <c r="Y7" s="101" t="str">
        <f t="shared" si="11"/>
        <v>0</v>
      </c>
      <c r="Z7" s="100">
        <v>1.4500000000000001E-2</v>
      </c>
      <c r="AA7" s="99" t="str">
        <f t="shared" si="12"/>
        <v>6,75</v>
      </c>
      <c r="AB7" s="117">
        <v>1</v>
      </c>
      <c r="AC7" s="101">
        <f t="shared" si="13"/>
        <v>1.5</v>
      </c>
      <c r="AD7" s="103">
        <v>1.0221988409504184</v>
      </c>
      <c r="AE7" s="118">
        <f t="shared" si="14"/>
        <v>2.25</v>
      </c>
      <c r="AF7" s="102">
        <v>0</v>
      </c>
      <c r="AG7" s="101" t="str">
        <f t="shared" si="15"/>
        <v>0</v>
      </c>
      <c r="AH7" s="100">
        <v>3.0069480266602749E-2</v>
      </c>
      <c r="AI7" s="99">
        <f t="shared" si="16"/>
        <v>2.25</v>
      </c>
      <c r="AJ7" s="98">
        <v>1</v>
      </c>
      <c r="AK7" s="98">
        <f t="shared" si="17"/>
        <v>1</v>
      </c>
      <c r="AL7" s="97">
        <f t="shared" si="18"/>
        <v>62</v>
      </c>
    </row>
    <row r="8" spans="1:38">
      <c r="A8" s="105" t="s">
        <v>411</v>
      </c>
      <c r="B8" s="104">
        <v>18.899999999999999</v>
      </c>
      <c r="C8" s="104">
        <f t="shared" si="0"/>
        <v>13.5</v>
      </c>
      <c r="D8" s="98">
        <v>1</v>
      </c>
      <c r="E8" s="98">
        <f t="shared" si="1"/>
        <v>1.5</v>
      </c>
      <c r="F8" s="104">
        <v>80.2</v>
      </c>
      <c r="G8" s="104">
        <f t="shared" si="2"/>
        <v>13.5</v>
      </c>
      <c r="H8" s="98">
        <v>0</v>
      </c>
      <c r="I8" s="98" t="str">
        <f t="shared" si="3"/>
        <v>0</v>
      </c>
      <c r="J8" s="100">
        <v>0.28910000000000002</v>
      </c>
      <c r="K8" s="99">
        <f t="shared" si="4"/>
        <v>5</v>
      </c>
      <c r="L8" s="100">
        <v>0.34499425465555295</v>
      </c>
      <c r="M8" s="99">
        <f t="shared" si="5"/>
        <v>5</v>
      </c>
      <c r="N8" s="104">
        <v>21.22</v>
      </c>
      <c r="O8" s="104">
        <f t="shared" si="6"/>
        <v>2.25</v>
      </c>
      <c r="P8" s="43">
        <v>1</v>
      </c>
      <c r="Q8" s="104">
        <f t="shared" si="7"/>
        <v>0.5</v>
      </c>
      <c r="R8" s="100">
        <v>3.9600000000000003E-2</v>
      </c>
      <c r="S8" s="99" t="str">
        <f t="shared" si="8"/>
        <v>4,5</v>
      </c>
      <c r="T8" s="102">
        <v>0</v>
      </c>
      <c r="U8" s="102" t="str">
        <f t="shared" si="9"/>
        <v>0</v>
      </c>
      <c r="V8" s="100">
        <v>3.61E-2</v>
      </c>
      <c r="W8" s="99" t="str">
        <f t="shared" si="10"/>
        <v>6,75</v>
      </c>
      <c r="X8" s="102">
        <v>0</v>
      </c>
      <c r="Y8" s="101" t="str">
        <f t="shared" si="11"/>
        <v>0</v>
      </c>
      <c r="Z8" s="100">
        <v>2.87E-2</v>
      </c>
      <c r="AA8" s="99" t="str">
        <f t="shared" si="12"/>
        <v>10,125</v>
      </c>
      <c r="AB8" s="117">
        <v>0</v>
      </c>
      <c r="AC8" s="101" t="str">
        <f t="shared" si="13"/>
        <v>0</v>
      </c>
      <c r="AD8" s="103">
        <v>1.0374071223109023</v>
      </c>
      <c r="AE8" s="118">
        <f t="shared" si="14"/>
        <v>2.25</v>
      </c>
      <c r="AF8" s="102">
        <v>0</v>
      </c>
      <c r="AG8" s="101" t="str">
        <f t="shared" si="15"/>
        <v>0</v>
      </c>
      <c r="AH8" s="100">
        <v>383.23</v>
      </c>
      <c r="AI8" s="99">
        <f t="shared" si="16"/>
        <v>9</v>
      </c>
      <c r="AJ8" s="98">
        <v>1</v>
      </c>
      <c r="AK8" s="98">
        <f t="shared" si="17"/>
        <v>1</v>
      </c>
      <c r="AL8" s="97">
        <f t="shared" si="18"/>
        <v>74.875</v>
      </c>
    </row>
    <row r="9" spans="1:38">
      <c r="A9" s="105" t="s">
        <v>410</v>
      </c>
      <c r="B9" s="104">
        <v>4.7</v>
      </c>
      <c r="C9" s="104">
        <f t="shared" si="0"/>
        <v>10.125</v>
      </c>
      <c r="D9" s="98">
        <v>0</v>
      </c>
      <c r="E9" s="98" t="str">
        <f t="shared" si="1"/>
        <v>0</v>
      </c>
      <c r="F9" s="104">
        <v>15</v>
      </c>
      <c r="G9" s="104">
        <f t="shared" si="2"/>
        <v>10.125</v>
      </c>
      <c r="H9" s="98">
        <v>1</v>
      </c>
      <c r="I9" s="98">
        <f t="shared" si="3"/>
        <v>1.5</v>
      </c>
      <c r="J9" s="100">
        <v>-0.16420000000000001</v>
      </c>
      <c r="K9" s="99">
        <f t="shared" si="4"/>
        <v>1.25</v>
      </c>
      <c r="L9" s="100">
        <v>-0.41684791609163674</v>
      </c>
      <c r="M9" s="99">
        <f t="shared" si="5"/>
        <v>3.75</v>
      </c>
      <c r="N9" s="104">
        <v>75</v>
      </c>
      <c r="O9" s="104">
        <f t="shared" si="6"/>
        <v>1.125</v>
      </c>
      <c r="P9" s="43">
        <v>1</v>
      </c>
      <c r="Q9" s="104">
        <f t="shared" si="7"/>
        <v>0.5</v>
      </c>
      <c r="R9" s="100">
        <v>2.46E-2</v>
      </c>
      <c r="S9" s="99" t="str">
        <f t="shared" si="8"/>
        <v>4,5</v>
      </c>
      <c r="T9" s="102">
        <v>0</v>
      </c>
      <c r="U9" s="102" t="str">
        <f t="shared" si="9"/>
        <v>0</v>
      </c>
      <c r="V9" s="100">
        <v>1.7399999999999999E-2</v>
      </c>
      <c r="W9" s="99" t="str">
        <f t="shared" si="10"/>
        <v>6,75</v>
      </c>
      <c r="X9" s="102">
        <v>0</v>
      </c>
      <c r="Y9" s="101" t="str">
        <f t="shared" si="11"/>
        <v>0</v>
      </c>
      <c r="Z9" s="100">
        <v>2.1999999999999999E-2</v>
      </c>
      <c r="AA9" s="99" t="str">
        <f t="shared" si="12"/>
        <v>10,125</v>
      </c>
      <c r="AB9" s="117">
        <v>0</v>
      </c>
      <c r="AC9" s="101" t="str">
        <f t="shared" si="13"/>
        <v>0</v>
      </c>
      <c r="AD9" s="103">
        <v>1.0176709170244327</v>
      </c>
      <c r="AE9" s="118">
        <f t="shared" si="14"/>
        <v>2.25</v>
      </c>
      <c r="AF9" s="102">
        <v>0</v>
      </c>
      <c r="AG9" s="101" t="str">
        <f t="shared" si="15"/>
        <v>0</v>
      </c>
      <c r="AH9" s="100">
        <v>307.14699999999999</v>
      </c>
      <c r="AI9" s="99">
        <f t="shared" si="16"/>
        <v>9</v>
      </c>
      <c r="AJ9" s="98">
        <v>0</v>
      </c>
      <c r="AK9" s="98" t="str">
        <f t="shared" si="17"/>
        <v>0</v>
      </c>
      <c r="AL9" s="97">
        <f t="shared" si="18"/>
        <v>61</v>
      </c>
    </row>
    <row r="10" spans="1:38">
      <c r="A10" s="105" t="s">
        <v>409</v>
      </c>
      <c r="B10" s="106">
        <v>5.0999999999999996</v>
      </c>
      <c r="C10" s="104">
        <f t="shared" si="0"/>
        <v>10.125</v>
      </c>
      <c r="D10" s="98">
        <v>0</v>
      </c>
      <c r="E10" s="98" t="str">
        <f t="shared" si="1"/>
        <v>0</v>
      </c>
      <c r="F10" s="104">
        <v>5.8</v>
      </c>
      <c r="G10" s="104">
        <f t="shared" si="2"/>
        <v>6.75</v>
      </c>
      <c r="H10" s="98">
        <v>0</v>
      </c>
      <c r="I10" s="98" t="str">
        <f t="shared" si="3"/>
        <v>0</v>
      </c>
      <c r="J10" s="100">
        <v>-4.3400000000000001E-2</v>
      </c>
      <c r="K10" s="99">
        <f t="shared" si="4"/>
        <v>2.5</v>
      </c>
      <c r="L10" s="100">
        <v>7.5102819335995706E-3</v>
      </c>
      <c r="M10" s="99">
        <f t="shared" si="5"/>
        <v>5</v>
      </c>
      <c r="N10" s="104">
        <v>101.99</v>
      </c>
      <c r="O10" s="104">
        <f t="shared" si="6"/>
        <v>1.125</v>
      </c>
      <c r="P10" s="43">
        <v>1</v>
      </c>
      <c r="Q10" s="104">
        <f t="shared" si="7"/>
        <v>0.5</v>
      </c>
      <c r="R10" s="100">
        <v>0.38419999999999999</v>
      </c>
      <c r="S10" s="99" t="str">
        <f t="shared" si="8"/>
        <v>9</v>
      </c>
      <c r="T10" s="102">
        <v>0</v>
      </c>
      <c r="U10" s="102" t="str">
        <f t="shared" si="9"/>
        <v>0</v>
      </c>
      <c r="V10" s="100">
        <v>0.12989999999999999</v>
      </c>
      <c r="W10" s="99" t="str">
        <f t="shared" si="10"/>
        <v>10,125</v>
      </c>
      <c r="X10" s="102">
        <v>1</v>
      </c>
      <c r="Y10" s="101">
        <f t="shared" si="11"/>
        <v>1.5</v>
      </c>
      <c r="Z10" s="100">
        <v>5.7500000000000002E-2</v>
      </c>
      <c r="AA10" s="99" t="str">
        <f t="shared" si="12"/>
        <v>10,125</v>
      </c>
      <c r="AB10" s="117">
        <v>1</v>
      </c>
      <c r="AC10" s="101">
        <f t="shared" si="13"/>
        <v>1.5</v>
      </c>
      <c r="AD10" s="103">
        <v>1.1492899563107108</v>
      </c>
      <c r="AE10" s="116">
        <f t="shared" si="14"/>
        <v>3.375</v>
      </c>
      <c r="AF10" s="102">
        <v>1</v>
      </c>
      <c r="AG10" s="101">
        <f t="shared" si="15"/>
        <v>0.5</v>
      </c>
      <c r="AH10" s="100">
        <v>0.12221141244029732</v>
      </c>
      <c r="AI10" s="99">
        <f t="shared" si="16"/>
        <v>4.5</v>
      </c>
      <c r="AJ10" s="98">
        <v>1</v>
      </c>
      <c r="AK10" s="98">
        <f t="shared" si="17"/>
        <v>1</v>
      </c>
      <c r="AL10" s="97">
        <f t="shared" si="18"/>
        <v>67.625</v>
      </c>
    </row>
    <row r="11" spans="1:38">
      <c r="A11" s="105" t="s">
        <v>408</v>
      </c>
      <c r="B11" s="106">
        <v>-8.8000000000000007</v>
      </c>
      <c r="C11" s="104">
        <f t="shared" si="0"/>
        <v>3.375</v>
      </c>
      <c r="D11" s="98">
        <v>0</v>
      </c>
      <c r="E11" s="98" t="str">
        <f t="shared" si="1"/>
        <v>0</v>
      </c>
      <c r="F11" s="104">
        <v>-2.1</v>
      </c>
      <c r="G11" s="104">
        <f t="shared" si="2"/>
        <v>3.375</v>
      </c>
      <c r="H11" s="98">
        <v>1</v>
      </c>
      <c r="I11" s="98">
        <f t="shared" si="3"/>
        <v>1.5</v>
      </c>
      <c r="J11" s="100">
        <v>6.6E-3</v>
      </c>
      <c r="K11" s="99">
        <f t="shared" si="4"/>
        <v>2.5</v>
      </c>
      <c r="L11" s="100">
        <v>-0.58542366463068285</v>
      </c>
      <c r="M11" s="99">
        <f t="shared" si="5"/>
        <v>2.5</v>
      </c>
      <c r="N11" s="104">
        <v>-380.32</v>
      </c>
      <c r="O11" s="104">
        <f t="shared" si="6"/>
        <v>4.5</v>
      </c>
      <c r="P11" s="43">
        <v>1</v>
      </c>
      <c r="Q11" s="104">
        <f t="shared" si="7"/>
        <v>0.5</v>
      </c>
      <c r="R11" s="100">
        <v>0.31979999999999997</v>
      </c>
      <c r="S11" s="99" t="str">
        <f t="shared" si="8"/>
        <v>9</v>
      </c>
      <c r="T11" s="102">
        <v>0</v>
      </c>
      <c r="U11" s="102" t="str">
        <f t="shared" si="9"/>
        <v>0</v>
      </c>
      <c r="V11" s="100">
        <v>0.2094</v>
      </c>
      <c r="W11" s="99" t="str">
        <f t="shared" si="10"/>
        <v>13,5</v>
      </c>
      <c r="X11" s="102">
        <v>1</v>
      </c>
      <c r="Y11" s="101">
        <f t="shared" si="11"/>
        <v>1.5</v>
      </c>
      <c r="Z11" s="100">
        <v>2.7E-2</v>
      </c>
      <c r="AA11" s="99" t="str">
        <f t="shared" si="12"/>
        <v>10,125</v>
      </c>
      <c r="AB11" s="117">
        <v>0</v>
      </c>
      <c r="AC11" s="101" t="str">
        <f t="shared" si="13"/>
        <v>0</v>
      </c>
      <c r="AD11" s="103">
        <v>1.2648891619175509</v>
      </c>
      <c r="AE11" s="101">
        <f t="shared" si="14"/>
        <v>4.5</v>
      </c>
      <c r="AF11" s="102">
        <v>1</v>
      </c>
      <c r="AG11" s="101">
        <f t="shared" si="15"/>
        <v>0.5</v>
      </c>
      <c r="AH11" s="100">
        <v>9.1815265038260777E-2</v>
      </c>
      <c r="AI11" s="99">
        <f t="shared" si="16"/>
        <v>4.5</v>
      </c>
      <c r="AJ11" s="98">
        <v>0</v>
      </c>
      <c r="AK11" s="98" t="str">
        <f t="shared" si="17"/>
        <v>0</v>
      </c>
      <c r="AL11" s="97">
        <f t="shared" si="18"/>
        <v>61.875</v>
      </c>
    </row>
    <row r="12" spans="1:38">
      <c r="A12" s="105" t="s">
        <v>407</v>
      </c>
      <c r="B12" s="104">
        <v>7.3</v>
      </c>
      <c r="C12" s="104">
        <f t="shared" si="0"/>
        <v>10.125</v>
      </c>
      <c r="D12" s="98">
        <v>0</v>
      </c>
      <c r="E12" s="98" t="str">
        <f t="shared" si="1"/>
        <v>0</v>
      </c>
      <c r="F12" s="104">
        <v>-0.4</v>
      </c>
      <c r="G12" s="104">
        <f t="shared" si="2"/>
        <v>3.375</v>
      </c>
      <c r="H12" s="98">
        <v>1</v>
      </c>
      <c r="I12" s="98">
        <f t="shared" si="3"/>
        <v>1.5</v>
      </c>
      <c r="J12" s="100">
        <v>0.16619999999999999</v>
      </c>
      <c r="K12" s="99">
        <f t="shared" si="4"/>
        <v>5</v>
      </c>
      <c r="L12" s="100">
        <v>-0.70595611285266457</v>
      </c>
      <c r="M12" s="99">
        <f t="shared" si="5"/>
        <v>2.5</v>
      </c>
      <c r="N12" s="104">
        <v>-212.39</v>
      </c>
      <c r="O12" s="104">
        <f t="shared" si="6"/>
        <v>4.5</v>
      </c>
      <c r="P12" s="43">
        <v>1</v>
      </c>
      <c r="Q12" s="104">
        <f t="shared" si="7"/>
        <v>0.5</v>
      </c>
      <c r="R12" s="100">
        <v>0.2102</v>
      </c>
      <c r="S12" s="99" t="str">
        <f t="shared" si="8"/>
        <v>6,75</v>
      </c>
      <c r="T12" s="102">
        <v>1</v>
      </c>
      <c r="U12" s="102">
        <f t="shared" si="9"/>
        <v>1</v>
      </c>
      <c r="V12" s="100">
        <v>0.1108</v>
      </c>
      <c r="W12" s="99" t="str">
        <f t="shared" si="10"/>
        <v>10,125</v>
      </c>
      <c r="X12" s="102">
        <v>1</v>
      </c>
      <c r="Y12" s="101">
        <f t="shared" si="11"/>
        <v>1.5</v>
      </c>
      <c r="Z12" s="100">
        <v>2E-3</v>
      </c>
      <c r="AA12" s="99" t="str">
        <f t="shared" si="12"/>
        <v>6,75</v>
      </c>
      <c r="AB12" s="117">
        <v>0</v>
      </c>
      <c r="AC12" s="101" t="str">
        <f t="shared" si="13"/>
        <v>0</v>
      </c>
      <c r="AD12" s="103">
        <v>1.1245453654980386</v>
      </c>
      <c r="AE12" s="116">
        <f t="shared" si="14"/>
        <v>3.375</v>
      </c>
      <c r="AF12" s="102">
        <v>1</v>
      </c>
      <c r="AG12" s="101">
        <f t="shared" si="15"/>
        <v>0.5</v>
      </c>
      <c r="AH12" s="100">
        <v>0.18708505586730262</v>
      </c>
      <c r="AI12" s="99">
        <f t="shared" si="16"/>
        <v>6.75</v>
      </c>
      <c r="AJ12" s="98">
        <v>1</v>
      </c>
      <c r="AK12" s="98">
        <f t="shared" si="17"/>
        <v>1</v>
      </c>
      <c r="AL12" s="97">
        <f t="shared" si="18"/>
        <v>65.25</v>
      </c>
    </row>
    <row r="13" spans="1:38">
      <c r="A13" s="105" t="s">
        <v>406</v>
      </c>
      <c r="B13" s="104">
        <v>4.5</v>
      </c>
      <c r="C13" s="104">
        <f t="shared" si="0"/>
        <v>10.125</v>
      </c>
      <c r="D13" s="98">
        <v>0</v>
      </c>
      <c r="E13" s="98" t="str">
        <f t="shared" si="1"/>
        <v>0</v>
      </c>
      <c r="F13" s="104">
        <v>5.0999999999999996</v>
      </c>
      <c r="G13" s="104">
        <f t="shared" si="2"/>
        <v>6.75</v>
      </c>
      <c r="H13" s="98">
        <v>0</v>
      </c>
      <c r="I13" s="98" t="str">
        <f t="shared" si="3"/>
        <v>0</v>
      </c>
      <c r="J13" s="100">
        <v>0.1641</v>
      </c>
      <c r="K13" s="99">
        <f t="shared" si="4"/>
        <v>3.75</v>
      </c>
      <c r="L13" s="100">
        <v>-0.72169905260462597</v>
      </c>
      <c r="M13" s="99">
        <f t="shared" si="5"/>
        <v>1.25</v>
      </c>
      <c r="N13" s="104">
        <v>23.13</v>
      </c>
      <c r="O13" s="104">
        <f t="shared" si="6"/>
        <v>2.25</v>
      </c>
      <c r="P13" s="43">
        <v>1</v>
      </c>
      <c r="Q13" s="104">
        <f t="shared" si="7"/>
        <v>0.5</v>
      </c>
      <c r="R13" s="100">
        <v>2.3900000000000001E-2</v>
      </c>
      <c r="S13" s="99" t="str">
        <f t="shared" si="8"/>
        <v>4,5</v>
      </c>
      <c r="T13" s="102">
        <v>0</v>
      </c>
      <c r="U13" s="102" t="str">
        <f t="shared" si="9"/>
        <v>0</v>
      </c>
      <c r="V13" s="100">
        <v>1.38E-2</v>
      </c>
      <c r="W13" s="99" t="str">
        <f t="shared" si="10"/>
        <v>6,75</v>
      </c>
      <c r="X13" s="102">
        <v>0</v>
      </c>
      <c r="Y13" s="101" t="str">
        <f t="shared" si="11"/>
        <v>0</v>
      </c>
      <c r="Z13" s="100">
        <v>5.1999999999999998E-3</v>
      </c>
      <c r="AA13" s="99" t="str">
        <f t="shared" si="12"/>
        <v>6,75</v>
      </c>
      <c r="AB13" s="117">
        <v>0</v>
      </c>
      <c r="AC13" s="101" t="str">
        <f t="shared" si="13"/>
        <v>0</v>
      </c>
      <c r="AD13" s="103">
        <v>1.0140102959685826</v>
      </c>
      <c r="AE13" s="116">
        <f t="shared" si="14"/>
        <v>1.125</v>
      </c>
      <c r="AF13" s="102">
        <v>0</v>
      </c>
      <c r="AG13" s="101" t="str">
        <f t="shared" si="15"/>
        <v>0</v>
      </c>
      <c r="AH13" s="100">
        <v>0.46257008098246866</v>
      </c>
      <c r="AI13" s="99">
        <f t="shared" si="16"/>
        <v>9</v>
      </c>
      <c r="AJ13" s="98">
        <v>0</v>
      </c>
      <c r="AK13" s="98" t="str">
        <f t="shared" si="17"/>
        <v>0</v>
      </c>
      <c r="AL13" s="97">
        <f t="shared" si="18"/>
        <v>52.75</v>
      </c>
    </row>
    <row r="14" spans="1:38">
      <c r="A14" s="105" t="s">
        <v>405</v>
      </c>
      <c r="B14" s="104">
        <v>-39.6</v>
      </c>
      <c r="C14" s="104">
        <f t="shared" si="0"/>
        <v>3.375</v>
      </c>
      <c r="D14" s="98">
        <v>0</v>
      </c>
      <c r="E14" s="98" t="str">
        <f t="shared" si="1"/>
        <v>0</v>
      </c>
      <c r="F14" s="104">
        <v>31.8</v>
      </c>
      <c r="G14" s="104">
        <f t="shared" si="2"/>
        <v>10.125</v>
      </c>
      <c r="H14" s="98">
        <v>1</v>
      </c>
      <c r="I14" s="98">
        <f t="shared" si="3"/>
        <v>1.5</v>
      </c>
      <c r="J14" s="100">
        <v>2.8000000000000001E-2</v>
      </c>
      <c r="K14" s="99">
        <f t="shared" si="4"/>
        <v>2.5</v>
      </c>
      <c r="L14" s="100">
        <v>-24.332579185520363</v>
      </c>
      <c r="M14" s="99">
        <f t="shared" si="5"/>
        <v>1.25</v>
      </c>
      <c r="N14" s="104">
        <v>25.75</v>
      </c>
      <c r="O14" s="104">
        <f t="shared" si="6"/>
        <v>1.125</v>
      </c>
      <c r="P14" s="43">
        <v>1</v>
      </c>
      <c r="Q14" s="104">
        <f t="shared" si="7"/>
        <v>0.5</v>
      </c>
      <c r="R14" s="100">
        <v>-6.4399999999999999E-2</v>
      </c>
      <c r="S14" s="99" t="str">
        <f t="shared" si="8"/>
        <v>2,25</v>
      </c>
      <c r="T14" s="102">
        <v>0</v>
      </c>
      <c r="U14" s="102" t="str">
        <f t="shared" si="9"/>
        <v>0</v>
      </c>
      <c r="V14" s="100">
        <v>-0.1114</v>
      </c>
      <c r="W14" s="99" t="str">
        <f t="shared" si="10"/>
        <v>3,375</v>
      </c>
      <c r="X14" s="102">
        <v>0</v>
      </c>
      <c r="Y14" s="101" t="str">
        <f t="shared" si="11"/>
        <v>0</v>
      </c>
      <c r="Z14" s="100">
        <v>-0.16420000000000001</v>
      </c>
      <c r="AA14" s="99" t="str">
        <f t="shared" si="12"/>
        <v>3,375</v>
      </c>
      <c r="AB14" s="117">
        <v>0</v>
      </c>
      <c r="AC14" s="101" t="str">
        <f t="shared" si="13"/>
        <v>0</v>
      </c>
      <c r="AD14" s="103">
        <v>0.89974205471743895</v>
      </c>
      <c r="AE14" s="116">
        <f t="shared" si="14"/>
        <v>1.125</v>
      </c>
      <c r="AF14" s="102">
        <v>0</v>
      </c>
      <c r="AG14" s="101" t="str">
        <f t="shared" si="15"/>
        <v>0</v>
      </c>
      <c r="AH14" s="100">
        <v>-0.19304285414506117</v>
      </c>
      <c r="AI14" s="99">
        <f t="shared" si="16"/>
        <v>2.25</v>
      </c>
      <c r="AJ14" s="98">
        <v>0</v>
      </c>
      <c r="AK14" s="98" t="str">
        <f t="shared" si="17"/>
        <v>0</v>
      </c>
      <c r="AL14" s="97">
        <f t="shared" si="18"/>
        <v>32.75</v>
      </c>
    </row>
    <row r="15" spans="1:38" ht="15.75" thickBot="1">
      <c r="A15" s="96" t="s">
        <v>404</v>
      </c>
      <c r="B15" s="94">
        <v>13.8</v>
      </c>
      <c r="C15" s="104">
        <f t="shared" si="0"/>
        <v>10.125</v>
      </c>
      <c r="D15" s="88">
        <v>0</v>
      </c>
      <c r="E15" s="88" t="str">
        <f t="shared" si="1"/>
        <v>0</v>
      </c>
      <c r="F15" s="94">
        <v>14.4</v>
      </c>
      <c r="G15" s="104">
        <f t="shared" si="2"/>
        <v>10.125</v>
      </c>
      <c r="H15" s="88">
        <v>0</v>
      </c>
      <c r="I15" s="88" t="str">
        <f t="shared" si="3"/>
        <v>0</v>
      </c>
      <c r="J15" s="90">
        <v>-4.7899999999999998E-2</v>
      </c>
      <c r="K15" s="89">
        <f t="shared" si="4"/>
        <v>1.25</v>
      </c>
      <c r="L15" s="90">
        <v>-0.27398554593255769</v>
      </c>
      <c r="M15" s="89">
        <f t="shared" si="5"/>
        <v>3.75</v>
      </c>
      <c r="N15" s="94">
        <v>-51</v>
      </c>
      <c r="O15" s="94">
        <f t="shared" si="6"/>
        <v>3.375</v>
      </c>
      <c r="P15" s="95">
        <v>0</v>
      </c>
      <c r="Q15" s="94" t="str">
        <f t="shared" si="7"/>
        <v>0</v>
      </c>
      <c r="R15" s="90">
        <v>0.57069999999999999</v>
      </c>
      <c r="S15" s="89" t="str">
        <f t="shared" si="8"/>
        <v>9</v>
      </c>
      <c r="T15" s="92">
        <v>0</v>
      </c>
      <c r="U15" s="92" t="str">
        <f t="shared" si="9"/>
        <v>0</v>
      </c>
      <c r="V15" s="90">
        <v>0.40560000000000002</v>
      </c>
      <c r="W15" s="89" t="str">
        <f t="shared" si="10"/>
        <v>13,5</v>
      </c>
      <c r="X15" s="92">
        <v>0</v>
      </c>
      <c r="Y15" s="91" t="str">
        <f t="shared" si="11"/>
        <v>0</v>
      </c>
      <c r="Z15" s="90">
        <v>0.37769999999999998</v>
      </c>
      <c r="AA15" s="89" t="str">
        <f t="shared" si="12"/>
        <v>13,5</v>
      </c>
      <c r="AB15" s="115">
        <v>0</v>
      </c>
      <c r="AC15" s="91" t="str">
        <f t="shared" si="13"/>
        <v>0</v>
      </c>
      <c r="AD15" s="93">
        <v>1.6822741834076824</v>
      </c>
      <c r="AE15" s="91">
        <f t="shared" si="14"/>
        <v>4.5</v>
      </c>
      <c r="AF15" s="92">
        <v>0</v>
      </c>
      <c r="AG15" s="91" t="str">
        <f t="shared" si="15"/>
        <v>0</v>
      </c>
      <c r="AH15" s="90">
        <v>0.17370647777373957</v>
      </c>
      <c r="AI15" s="89">
        <f t="shared" si="16"/>
        <v>6.75</v>
      </c>
      <c r="AJ15" s="88">
        <v>0</v>
      </c>
      <c r="AK15" s="88" t="str">
        <f t="shared" si="17"/>
        <v>0</v>
      </c>
      <c r="AL15" s="87">
        <f t="shared" si="18"/>
        <v>75.875</v>
      </c>
    </row>
    <row r="16" spans="1:38">
      <c r="B16" s="81"/>
      <c r="C16" s="81"/>
    </row>
    <row r="17" spans="1:13">
      <c r="B17" s="81"/>
      <c r="C17" s="81"/>
      <c r="J17" s="21"/>
    </row>
    <row r="18" spans="1:13">
      <c r="B18" s="81"/>
      <c r="C18" s="81"/>
    </row>
    <row r="19" spans="1:13">
      <c r="B19" s="81"/>
      <c r="C19" s="81"/>
      <c r="J19" s="21"/>
    </row>
    <row r="22" spans="1:13">
      <c r="A22" s="86" t="s">
        <v>60</v>
      </c>
      <c r="B22" s="86" t="s">
        <v>59</v>
      </c>
      <c r="C22" s="86"/>
      <c r="D22" s="86"/>
      <c r="E22" s="86"/>
      <c r="F22" s="86" t="s">
        <v>58</v>
      </c>
      <c r="G22" s="86"/>
      <c r="H22" s="85"/>
      <c r="I22" s="85"/>
      <c r="J22" s="85"/>
      <c r="K22" s="85"/>
      <c r="L22" s="85" t="s">
        <v>57</v>
      </c>
      <c r="M22" s="85"/>
    </row>
    <row r="23" spans="1:13">
      <c r="A23" s="82" t="s">
        <v>56</v>
      </c>
      <c r="B23" s="9">
        <v>13.5</v>
      </c>
      <c r="C23" s="9"/>
      <c r="D23" s="84"/>
      <c r="E23" s="84"/>
      <c r="F23" s="9">
        <f>L23*0.1</f>
        <v>1.5</v>
      </c>
      <c r="G23" s="9"/>
      <c r="H23" s="8"/>
      <c r="I23" s="83"/>
      <c r="J23" s="83"/>
      <c r="K23" s="83"/>
      <c r="L23" s="9">
        <v>15</v>
      </c>
      <c r="M23" s="9"/>
    </row>
    <row r="24" spans="1:13">
      <c r="A24" s="78" t="s">
        <v>440</v>
      </c>
      <c r="B24" s="3">
        <f>B23*0.25</f>
        <v>3.375</v>
      </c>
      <c r="C24" s="75"/>
      <c r="D24" s="75"/>
      <c r="E24" s="75"/>
      <c r="F24" s="3" t="s">
        <v>7</v>
      </c>
      <c r="G24" s="3"/>
      <c r="H24">
        <v>1.5</v>
      </c>
    </row>
    <row r="25" spans="1:13">
      <c r="A25" s="78" t="s">
        <v>439</v>
      </c>
      <c r="B25" s="3">
        <f>B23*0.5</f>
        <v>6.75</v>
      </c>
      <c r="C25" s="75"/>
      <c r="D25" s="75"/>
      <c r="E25" s="75"/>
      <c r="F25" s="3" t="s">
        <v>4</v>
      </c>
      <c r="G25" s="3"/>
      <c r="H25">
        <v>0</v>
      </c>
    </row>
    <row r="26" spans="1:13">
      <c r="A26" s="78" t="s">
        <v>438</v>
      </c>
      <c r="B26" s="3">
        <f>B23*0.75</f>
        <v>10.125</v>
      </c>
      <c r="C26" s="75"/>
      <c r="D26" s="75"/>
      <c r="E26" s="75"/>
      <c r="F26" s="3"/>
      <c r="G26" s="3"/>
      <c r="H26"/>
    </row>
    <row r="27" spans="1:13">
      <c r="A27" s="78" t="s">
        <v>400</v>
      </c>
      <c r="B27" s="3">
        <f>B23*1</f>
        <v>13.5</v>
      </c>
      <c r="C27" s="75"/>
      <c r="D27" s="75"/>
      <c r="E27" s="75"/>
      <c r="F27" s="3"/>
      <c r="G27" s="3"/>
      <c r="H27"/>
    </row>
    <row r="28" spans="1:13">
      <c r="B28" s="3"/>
      <c r="C28" s="75"/>
      <c r="D28" s="75"/>
      <c r="E28" s="75"/>
      <c r="F28" s="3"/>
      <c r="G28" s="3"/>
      <c r="H28"/>
    </row>
    <row r="29" spans="1:13">
      <c r="A29" s="82" t="s">
        <v>51</v>
      </c>
      <c r="B29" s="9">
        <v>13.5</v>
      </c>
      <c r="C29" s="75"/>
      <c r="D29" s="75"/>
      <c r="E29" s="75"/>
      <c r="F29" s="3"/>
      <c r="G29" s="3"/>
      <c r="H29"/>
    </row>
    <row r="30" spans="1:13">
      <c r="A30" s="78" t="s">
        <v>399</v>
      </c>
      <c r="B30" s="3">
        <f>B29*0.25</f>
        <v>3.375</v>
      </c>
      <c r="C30" s="9"/>
      <c r="D30" s="84"/>
      <c r="E30" s="84"/>
      <c r="F30" s="9">
        <f>L30*0.1</f>
        <v>1.5</v>
      </c>
      <c r="G30" s="9"/>
      <c r="H30" s="8"/>
      <c r="I30" s="83"/>
      <c r="J30" s="83"/>
      <c r="K30" s="83"/>
      <c r="L30" s="9">
        <v>15</v>
      </c>
      <c r="M30" s="9"/>
    </row>
    <row r="31" spans="1:13">
      <c r="A31" s="78" t="s">
        <v>398</v>
      </c>
      <c r="B31" s="3">
        <f>B29*0.5</f>
        <v>6.75</v>
      </c>
      <c r="C31" s="75"/>
      <c r="D31" s="75"/>
      <c r="E31" s="75"/>
      <c r="F31" s="3" t="s">
        <v>7</v>
      </c>
      <c r="G31" s="3"/>
      <c r="H31">
        <v>1.5</v>
      </c>
    </row>
    <row r="32" spans="1:13">
      <c r="A32" s="78" t="s">
        <v>397</v>
      </c>
      <c r="B32" s="3">
        <f>B29*0.75</f>
        <v>10.125</v>
      </c>
      <c r="C32" s="75"/>
      <c r="D32" s="75"/>
      <c r="E32" s="75"/>
      <c r="F32" s="3" t="s">
        <v>4</v>
      </c>
      <c r="G32" s="3"/>
      <c r="H32">
        <v>0</v>
      </c>
    </row>
    <row r="33" spans="1:13">
      <c r="A33" s="78" t="s">
        <v>396</v>
      </c>
      <c r="B33" s="3">
        <f>B29*1</f>
        <v>13.5</v>
      </c>
      <c r="C33" s="75"/>
      <c r="D33" s="75"/>
      <c r="E33" s="75"/>
      <c r="F33" s="3"/>
      <c r="G33" s="3"/>
      <c r="H33"/>
    </row>
    <row r="34" spans="1:13">
      <c r="B34" s="3"/>
      <c r="C34" s="75"/>
      <c r="D34" s="75"/>
      <c r="E34" s="75"/>
      <c r="F34" s="3"/>
      <c r="G34" s="3"/>
      <c r="H34"/>
    </row>
    <row r="35" spans="1:13">
      <c r="B35" s="3"/>
      <c r="C35" s="75"/>
      <c r="D35" s="75"/>
      <c r="E35" s="75"/>
      <c r="F35" s="3"/>
      <c r="G35" s="3"/>
      <c r="H35"/>
    </row>
    <row r="36" spans="1:13">
      <c r="A36" s="82" t="s">
        <v>46</v>
      </c>
      <c r="B36" s="9">
        <v>5</v>
      </c>
      <c r="C36" s="5"/>
      <c r="D36" s="75" t="s">
        <v>10</v>
      </c>
      <c r="E36" s="75"/>
      <c r="F36" s="3"/>
      <c r="G36" s="3"/>
      <c r="H36"/>
      <c r="L36" s="2">
        <v>5</v>
      </c>
      <c r="M36" s="2"/>
    </row>
    <row r="37" spans="1:13">
      <c r="A37" s="78" t="s">
        <v>437</v>
      </c>
      <c r="B37" s="3">
        <f>B36*0.25</f>
        <v>1.25</v>
      </c>
      <c r="C37" s="75"/>
      <c r="D37" s="75" t="s">
        <v>8</v>
      </c>
      <c r="E37" s="54">
        <f>QUARTILE(J4:J15,1)</f>
        <v>-4.4525000000000002E-2</v>
      </c>
      <c r="F37" s="3"/>
      <c r="G37" s="3"/>
      <c r="H37"/>
    </row>
    <row r="38" spans="1:13">
      <c r="A38" s="78" t="s">
        <v>436</v>
      </c>
      <c r="B38" s="3">
        <f>B36*0.5</f>
        <v>2.5</v>
      </c>
      <c r="C38" s="75"/>
      <c r="D38" s="75" t="s">
        <v>5</v>
      </c>
      <c r="E38" s="54">
        <f>QUARTILE(J4:J15,2)</f>
        <v>4.2054827378424572E-2</v>
      </c>
      <c r="F38" s="3"/>
      <c r="G38" s="3"/>
      <c r="H38"/>
    </row>
    <row r="39" spans="1:13">
      <c r="A39" s="78" t="s">
        <v>435</v>
      </c>
      <c r="B39" s="3">
        <f>B36*0.75</f>
        <v>3.75</v>
      </c>
      <c r="C39" s="75"/>
      <c r="D39" s="75" t="s">
        <v>2</v>
      </c>
      <c r="E39" s="54">
        <f>QUARTILE(J4:J15,3)</f>
        <v>0.16462499999999999</v>
      </c>
      <c r="F39" s="3"/>
      <c r="G39" s="3"/>
      <c r="H39"/>
    </row>
    <row r="40" spans="1:13">
      <c r="A40" s="78" t="s">
        <v>434</v>
      </c>
      <c r="B40" s="3">
        <f>B36*1</f>
        <v>5</v>
      </c>
      <c r="C40" s="75"/>
      <c r="D40" s="75" t="s">
        <v>383</v>
      </c>
      <c r="E40" s="54"/>
      <c r="F40" s="3"/>
      <c r="G40" s="3"/>
      <c r="H40"/>
    </row>
    <row r="41" spans="1:13">
      <c r="B41" s="3"/>
      <c r="C41" s="75"/>
      <c r="D41" s="75"/>
      <c r="E41" s="75"/>
      <c r="F41" s="3"/>
      <c r="G41" s="3"/>
      <c r="H41"/>
    </row>
    <row r="42" spans="1:13">
      <c r="A42" s="82" t="s">
        <v>41</v>
      </c>
      <c r="B42" s="9">
        <v>5</v>
      </c>
      <c r="C42" s="5"/>
      <c r="D42" s="75" t="s">
        <v>10</v>
      </c>
      <c r="E42" s="75"/>
      <c r="F42" s="3"/>
      <c r="G42" s="3"/>
      <c r="H42"/>
      <c r="L42" s="2">
        <v>5</v>
      </c>
      <c r="M42" s="2"/>
    </row>
    <row r="43" spans="1:13">
      <c r="A43" s="78" t="s">
        <v>433</v>
      </c>
      <c r="B43" s="3">
        <f>B42*0.25</f>
        <v>1.25</v>
      </c>
      <c r="C43" s="75"/>
      <c r="D43" s="75" t="s">
        <v>8</v>
      </c>
      <c r="E43" s="54">
        <f>QUARTILE(L4:L15,1)</f>
        <v>-0.70989184779065495</v>
      </c>
      <c r="F43" s="3"/>
      <c r="G43" s="3"/>
      <c r="H43"/>
    </row>
    <row r="44" spans="1:13">
      <c r="A44" s="78" t="s">
        <v>432</v>
      </c>
      <c r="B44" s="3">
        <f>B42*0.5</f>
        <v>2.5</v>
      </c>
      <c r="C44" s="75"/>
      <c r="D44" s="75" t="s">
        <v>5</v>
      </c>
      <c r="E44" s="54">
        <f>QUARTILE(L4:L15,2)</f>
        <v>-0.47845724108323856</v>
      </c>
      <c r="F44" s="3"/>
      <c r="G44" s="3"/>
      <c r="H44"/>
    </row>
    <row r="45" spans="1:13">
      <c r="A45" s="78" t="s">
        <v>431</v>
      </c>
      <c r="B45" s="3">
        <f>B42*0.75</f>
        <v>3.75</v>
      </c>
      <c r="C45" s="75"/>
      <c r="D45" s="75" t="s">
        <v>2</v>
      </c>
      <c r="E45" s="54">
        <f>QUARTILE(L4:L15,3)</f>
        <v>-0.10919033575360751</v>
      </c>
      <c r="F45" s="3"/>
      <c r="G45" s="3"/>
      <c r="H45"/>
    </row>
    <row r="46" spans="1:13">
      <c r="A46" s="78" t="s">
        <v>430</v>
      </c>
      <c r="B46" s="3">
        <f>B42*1</f>
        <v>5</v>
      </c>
      <c r="C46" s="75"/>
      <c r="D46" s="75" t="s">
        <v>383</v>
      </c>
      <c r="E46" s="75"/>
      <c r="F46" s="3"/>
      <c r="G46" s="3"/>
      <c r="H46"/>
    </row>
    <row r="47" spans="1:13">
      <c r="B47" s="3"/>
      <c r="C47" s="75"/>
      <c r="D47" s="75"/>
      <c r="E47" s="75"/>
      <c r="F47" s="3"/>
      <c r="G47" s="3"/>
      <c r="H47"/>
    </row>
    <row r="48" spans="1:13">
      <c r="A48" s="79" t="s">
        <v>36</v>
      </c>
      <c r="B48" s="9">
        <v>4.5</v>
      </c>
      <c r="C48" s="5"/>
      <c r="D48" s="75" t="s">
        <v>10</v>
      </c>
      <c r="E48" s="5"/>
      <c r="F48" s="5"/>
      <c r="G48" s="5"/>
      <c r="H48" s="7">
        <f>L48*0.1</f>
        <v>0.5</v>
      </c>
      <c r="I48" s="7"/>
      <c r="J48" s="7"/>
      <c r="K48" s="7"/>
      <c r="L48" s="5">
        <v>5</v>
      </c>
      <c r="M48" s="5"/>
    </row>
    <row r="49" spans="1:13">
      <c r="A49" s="78" t="s">
        <v>429</v>
      </c>
      <c r="B49" s="3">
        <v>4.5</v>
      </c>
      <c r="C49" s="75"/>
      <c r="D49" s="75" t="s">
        <v>8</v>
      </c>
      <c r="E49" s="81">
        <f>QUARTILE(N4:N15,1)</f>
        <v>-72.634999999999991</v>
      </c>
      <c r="F49" s="3"/>
      <c r="G49" s="3"/>
      <c r="H49" t="s">
        <v>365</v>
      </c>
      <c r="J49" s="80">
        <v>0.5</v>
      </c>
      <c r="K49" s="75"/>
      <c r="L49" s="75"/>
    </row>
    <row r="50" spans="1:13">
      <c r="A50" s="78" t="s">
        <v>428</v>
      </c>
      <c r="B50" s="3">
        <v>3.375</v>
      </c>
      <c r="C50" s="75"/>
      <c r="D50" s="75" t="s">
        <v>5</v>
      </c>
      <c r="E50" s="81">
        <f>QUARTILE(N4:N15,2)</f>
        <v>6.3250000000000002</v>
      </c>
      <c r="F50" s="3"/>
      <c r="G50" s="3"/>
      <c r="H50" t="s">
        <v>419</v>
      </c>
      <c r="J50" s="80">
        <v>0</v>
      </c>
      <c r="K50" s="75"/>
      <c r="L50" s="75"/>
    </row>
    <row r="51" spans="1:13">
      <c r="A51" s="78" t="s">
        <v>427</v>
      </c>
      <c r="B51" s="3">
        <v>2.25</v>
      </c>
      <c r="C51" s="75"/>
      <c r="D51" s="75" t="s">
        <v>2</v>
      </c>
      <c r="E51" s="75">
        <f>QUARTILE(N4:N15,3)</f>
        <v>23.785</v>
      </c>
      <c r="F51" s="3"/>
      <c r="G51" s="3"/>
      <c r="H51"/>
    </row>
    <row r="52" spans="1:13">
      <c r="A52" s="78" t="s">
        <v>426</v>
      </c>
      <c r="B52" s="3">
        <v>1.125</v>
      </c>
      <c r="C52" s="75"/>
      <c r="D52" s="75" t="s">
        <v>383</v>
      </c>
      <c r="E52" s="75"/>
      <c r="F52" s="3"/>
      <c r="G52" s="3"/>
      <c r="H52"/>
    </row>
    <row r="53" spans="1:13">
      <c r="B53" s="3"/>
      <c r="C53" s="75"/>
      <c r="D53" s="75"/>
      <c r="E53" s="75"/>
      <c r="F53" s="3"/>
      <c r="G53" s="3"/>
      <c r="H53"/>
    </row>
    <row r="54" spans="1:13">
      <c r="A54" s="79" t="s">
        <v>31</v>
      </c>
      <c r="B54" s="9">
        <v>9</v>
      </c>
      <c r="C54" s="5"/>
      <c r="D54" s="75"/>
      <c r="E54" s="5"/>
      <c r="F54" s="5"/>
      <c r="G54" s="5"/>
      <c r="H54" s="7">
        <f>L54*0.1</f>
        <v>1</v>
      </c>
      <c r="I54" s="7"/>
      <c r="J54" s="7"/>
      <c r="K54" s="7"/>
      <c r="L54" s="5">
        <v>10</v>
      </c>
      <c r="M54" s="5"/>
    </row>
    <row r="55" spans="1:13">
      <c r="A55" s="78" t="s">
        <v>382</v>
      </c>
      <c r="B55" s="3">
        <f>B54*0.25</f>
        <v>2.25</v>
      </c>
      <c r="C55" s="75"/>
      <c r="D55" s="75"/>
      <c r="E55" s="54"/>
      <c r="F55" s="3"/>
      <c r="G55" s="3"/>
      <c r="H55" t="s">
        <v>365</v>
      </c>
      <c r="J55" s="78">
        <v>1</v>
      </c>
    </row>
    <row r="56" spans="1:13">
      <c r="A56" s="78" t="s">
        <v>381</v>
      </c>
      <c r="B56" s="3">
        <f>B54*0.5</f>
        <v>4.5</v>
      </c>
      <c r="C56" s="75"/>
      <c r="D56" s="75"/>
      <c r="E56" s="54"/>
      <c r="F56" s="3"/>
      <c r="G56" s="3"/>
      <c r="H56" t="s">
        <v>419</v>
      </c>
      <c r="J56" s="78">
        <v>0</v>
      </c>
    </row>
    <row r="57" spans="1:13">
      <c r="A57" t="s">
        <v>380</v>
      </c>
      <c r="B57" s="3">
        <f>B54*0.75</f>
        <v>6.75</v>
      </c>
      <c r="C57" s="75"/>
      <c r="D57" s="75"/>
      <c r="E57" s="54"/>
      <c r="F57" s="3"/>
      <c r="G57" s="3"/>
      <c r="H57"/>
    </row>
    <row r="58" spans="1:13">
      <c r="A58" t="s">
        <v>379</v>
      </c>
      <c r="B58" s="3">
        <f>B54*1</f>
        <v>9</v>
      </c>
      <c r="C58" s="75"/>
      <c r="D58" s="75"/>
      <c r="E58" s="75"/>
      <c r="F58" s="3"/>
      <c r="G58" s="3"/>
      <c r="H58"/>
    </row>
    <row r="59" spans="1:13">
      <c r="B59" s="3"/>
      <c r="C59" s="75"/>
      <c r="D59" s="75"/>
      <c r="E59" s="75"/>
      <c r="F59" s="3"/>
      <c r="G59" s="3"/>
      <c r="H59"/>
    </row>
    <row r="60" spans="1:13">
      <c r="A60" s="79" t="s">
        <v>26</v>
      </c>
      <c r="B60" s="9">
        <v>13.5</v>
      </c>
      <c r="C60" s="5"/>
      <c r="D60" s="75"/>
      <c r="E60" s="5"/>
      <c r="F60" s="5"/>
      <c r="G60" s="5"/>
      <c r="H60" s="7">
        <f>L60*0.1</f>
        <v>1.5</v>
      </c>
      <c r="I60" s="7"/>
      <c r="J60" s="7"/>
      <c r="K60" s="7"/>
      <c r="L60" s="5">
        <v>15</v>
      </c>
      <c r="M60" s="5"/>
    </row>
    <row r="61" spans="1:13">
      <c r="A61" s="78" t="s">
        <v>378</v>
      </c>
      <c r="B61" s="3">
        <f>B60*0.25</f>
        <v>3.375</v>
      </c>
      <c r="C61" s="75"/>
      <c r="D61" s="75"/>
      <c r="E61" s="54"/>
      <c r="F61" s="3"/>
      <c r="G61" s="3"/>
      <c r="H61" t="s">
        <v>365</v>
      </c>
      <c r="J61" s="78">
        <v>1.5</v>
      </c>
    </row>
    <row r="62" spans="1:13">
      <c r="A62" s="78" t="s">
        <v>377</v>
      </c>
      <c r="B62" s="3">
        <f>B60*0.5</f>
        <v>6.75</v>
      </c>
      <c r="C62" s="75"/>
      <c r="D62" s="75"/>
      <c r="E62" s="54"/>
      <c r="F62" s="3"/>
      <c r="G62" s="3"/>
      <c r="H62" t="s">
        <v>419</v>
      </c>
      <c r="J62" s="78">
        <v>0</v>
      </c>
    </row>
    <row r="63" spans="1:13">
      <c r="A63" t="s">
        <v>376</v>
      </c>
      <c r="B63" s="3">
        <f>B60*0.75</f>
        <v>10.125</v>
      </c>
      <c r="C63" s="75"/>
      <c r="D63" s="75"/>
      <c r="E63" s="54"/>
      <c r="F63" s="3"/>
      <c r="G63" s="3"/>
      <c r="H63"/>
    </row>
    <row r="64" spans="1:13">
      <c r="A64" t="s">
        <v>375</v>
      </c>
      <c r="B64" s="3">
        <f>B60*1</f>
        <v>13.5</v>
      </c>
      <c r="C64" s="75"/>
      <c r="D64" s="75"/>
      <c r="E64" s="75"/>
      <c r="F64" s="3"/>
      <c r="G64" s="3"/>
      <c r="H64"/>
    </row>
    <row r="65" spans="1:13">
      <c r="B65" s="3"/>
      <c r="C65" s="75"/>
      <c r="D65" s="75"/>
      <c r="E65" s="75"/>
      <c r="F65" s="3"/>
      <c r="G65" s="3"/>
      <c r="H65"/>
    </row>
    <row r="66" spans="1:13">
      <c r="A66" s="79" t="s">
        <v>21</v>
      </c>
      <c r="B66" s="9">
        <v>13.5</v>
      </c>
      <c r="C66" s="5"/>
      <c r="D66" s="75"/>
      <c r="E66" s="5"/>
      <c r="F66" s="5"/>
      <c r="G66" s="5"/>
      <c r="H66" s="7">
        <f>L66*0.1</f>
        <v>1.5</v>
      </c>
      <c r="I66" s="7"/>
      <c r="J66" s="7"/>
      <c r="K66" s="7"/>
      <c r="L66" s="5">
        <v>15</v>
      </c>
      <c r="M66" s="5"/>
    </row>
    <row r="67" spans="1:13">
      <c r="A67" s="78" t="s">
        <v>374</v>
      </c>
      <c r="B67" s="3">
        <f>B66*0.25</f>
        <v>3.375</v>
      </c>
      <c r="C67" s="75"/>
      <c r="D67" s="75"/>
      <c r="E67" s="54"/>
      <c r="F67" s="3"/>
      <c r="G67" s="3"/>
      <c r="H67" t="s">
        <v>365</v>
      </c>
      <c r="J67" s="78">
        <v>1.5</v>
      </c>
    </row>
    <row r="68" spans="1:13">
      <c r="A68" t="s">
        <v>373</v>
      </c>
      <c r="B68" s="3">
        <f>B66*0.5</f>
        <v>6.75</v>
      </c>
      <c r="C68" s="75"/>
      <c r="D68" s="75"/>
      <c r="E68" s="54"/>
      <c r="F68" s="3"/>
      <c r="G68" s="3"/>
      <c r="H68" t="s">
        <v>419</v>
      </c>
      <c r="J68" s="78">
        <v>0</v>
      </c>
    </row>
    <row r="69" spans="1:13">
      <c r="A69" t="s">
        <v>372</v>
      </c>
      <c r="B69" s="3">
        <f>B66*0.75</f>
        <v>10.125</v>
      </c>
      <c r="C69" s="75"/>
      <c r="D69" s="75"/>
      <c r="E69" s="54"/>
      <c r="F69" s="3"/>
      <c r="G69" s="3"/>
      <c r="H69"/>
    </row>
    <row r="70" spans="1:13">
      <c r="A70" t="s">
        <v>371</v>
      </c>
      <c r="B70" s="3">
        <f>B66*1</f>
        <v>13.5</v>
      </c>
      <c r="C70" s="75"/>
      <c r="D70" s="75"/>
      <c r="E70" s="75"/>
      <c r="F70" s="3"/>
      <c r="G70" s="3"/>
      <c r="H70"/>
    </row>
    <row r="71" spans="1:13">
      <c r="B71" s="3"/>
      <c r="C71" s="75"/>
      <c r="D71" s="75"/>
      <c r="E71" s="75"/>
      <c r="F71" s="3"/>
      <c r="G71" s="3"/>
      <c r="H71"/>
    </row>
    <row r="72" spans="1:13">
      <c r="A72" s="79" t="s">
        <v>16</v>
      </c>
      <c r="B72" s="9">
        <v>4.5</v>
      </c>
      <c r="C72" s="5"/>
      <c r="D72" s="75" t="s">
        <v>10</v>
      </c>
      <c r="E72" s="5"/>
      <c r="F72" s="5"/>
      <c r="G72" s="5"/>
      <c r="H72" s="7">
        <f>L72*0.1</f>
        <v>0.5</v>
      </c>
      <c r="I72" s="7"/>
      <c r="J72" s="7"/>
      <c r="K72" s="7"/>
      <c r="L72" s="5">
        <v>5</v>
      </c>
    </row>
    <row r="73" spans="1:13">
      <c r="A73" s="78" t="s">
        <v>425</v>
      </c>
      <c r="B73" s="3">
        <f>B72*0.25</f>
        <v>1.125</v>
      </c>
      <c r="C73" s="75"/>
      <c r="D73" s="75" t="s">
        <v>8</v>
      </c>
      <c r="E73" s="75">
        <f>QUARTILE(AD4:AD15,1)</f>
        <v>1.0167557617604701</v>
      </c>
      <c r="F73" s="3"/>
      <c r="G73" s="3"/>
      <c r="H73" t="s">
        <v>365</v>
      </c>
      <c r="J73" s="78">
        <v>0.5</v>
      </c>
    </row>
    <row r="74" spans="1:13">
      <c r="A74" s="78" t="s">
        <v>424</v>
      </c>
      <c r="B74" s="3">
        <f>B72*0.5</f>
        <v>2.25</v>
      </c>
      <c r="C74" s="75"/>
      <c r="D74" s="75" t="s">
        <v>5</v>
      </c>
      <c r="E74" s="75">
        <f>QUARTILE(AD4:AD15,2)</f>
        <v>1.0753367395237099</v>
      </c>
      <c r="F74" s="3"/>
      <c r="G74" s="3"/>
      <c r="H74" t="s">
        <v>419</v>
      </c>
      <c r="J74" s="78">
        <v>0</v>
      </c>
    </row>
    <row r="75" spans="1:13">
      <c r="A75" s="78" t="s">
        <v>423</v>
      </c>
      <c r="B75" s="3">
        <f>B72*0.75</f>
        <v>3.375</v>
      </c>
      <c r="C75" s="75"/>
      <c r="D75" s="75" t="s">
        <v>2</v>
      </c>
      <c r="E75" s="75">
        <f>QUARTILE(AD4:AD15,3)</f>
        <v>1.178189757712421</v>
      </c>
      <c r="F75" s="3"/>
      <c r="G75" s="3"/>
      <c r="H75"/>
    </row>
    <row r="76" spans="1:13">
      <c r="A76" s="78" t="s">
        <v>422</v>
      </c>
      <c r="B76" s="3">
        <f>B72*1</f>
        <v>4.5</v>
      </c>
      <c r="C76" s="75"/>
      <c r="D76" s="75"/>
      <c r="E76" s="75"/>
      <c r="F76" s="3"/>
      <c r="G76" s="3"/>
      <c r="H76"/>
    </row>
    <row r="77" spans="1:13">
      <c r="B77" s="3"/>
      <c r="C77" s="75"/>
      <c r="D77" s="75"/>
      <c r="E77" s="75"/>
      <c r="F77" s="3"/>
      <c r="G77" s="3"/>
      <c r="H77"/>
    </row>
    <row r="78" spans="1:13">
      <c r="A78" s="79" t="s">
        <v>11</v>
      </c>
      <c r="B78" s="9">
        <v>9</v>
      </c>
      <c r="C78" s="5"/>
      <c r="D78" s="75" t="s">
        <v>10</v>
      </c>
      <c r="E78" s="5"/>
      <c r="F78" s="5"/>
      <c r="G78" s="5"/>
      <c r="H78" s="5">
        <f>L78*0.1</f>
        <v>1</v>
      </c>
      <c r="I78" s="5"/>
      <c r="J78" s="5"/>
      <c r="K78" s="5"/>
      <c r="L78" s="5">
        <v>10</v>
      </c>
    </row>
    <row r="79" spans="1:13">
      <c r="A79" s="78" t="s">
        <v>421</v>
      </c>
      <c r="B79" s="3">
        <f>B78*0.25</f>
        <v>2.25</v>
      </c>
      <c r="C79" s="75"/>
      <c r="D79" s="75" t="s">
        <v>8</v>
      </c>
      <c r="E79" s="54">
        <f>QUARTILE(AH4:AH15,1)</f>
        <v>7.6378818845346266E-2</v>
      </c>
      <c r="F79" s="3"/>
      <c r="G79" s="3"/>
      <c r="H79" t="s">
        <v>365</v>
      </c>
      <c r="J79" s="78">
        <v>1</v>
      </c>
    </row>
    <row r="80" spans="1:13">
      <c r="A80" s="78" t="s">
        <v>420</v>
      </c>
      <c r="B80" s="3">
        <f>B78*0.5</f>
        <v>4.5</v>
      </c>
      <c r="C80" s="75"/>
      <c r="D80" s="75" t="s">
        <v>5</v>
      </c>
      <c r="E80" s="54">
        <f>QUARTILE(AH4:AH15,2)</f>
        <v>0.14866521712627762</v>
      </c>
      <c r="F80" s="3"/>
      <c r="G80" s="3"/>
      <c r="H80" t="s">
        <v>419</v>
      </c>
      <c r="J80" s="78">
        <v>0</v>
      </c>
    </row>
    <row r="81" spans="1:13">
      <c r="A81" s="78" t="s">
        <v>418</v>
      </c>
      <c r="B81" s="3">
        <f>B78*0.75</f>
        <v>6.75</v>
      </c>
      <c r="C81" s="75"/>
      <c r="D81" s="75" t="s">
        <v>2</v>
      </c>
      <c r="E81" s="54">
        <f>QUARTILE(AH4:AH15,3)</f>
        <v>0.25595631214609416</v>
      </c>
      <c r="F81" s="3"/>
      <c r="G81" s="3"/>
      <c r="H81"/>
    </row>
    <row r="82" spans="1:13">
      <c r="A82" s="78" t="s">
        <v>417</v>
      </c>
      <c r="B82" s="3">
        <f>B78*1</f>
        <v>9</v>
      </c>
      <c r="C82" s="75"/>
      <c r="D82" s="75"/>
      <c r="E82" s="75"/>
      <c r="F82" s="3"/>
      <c r="G82" s="3"/>
      <c r="H82"/>
    </row>
    <row r="83" spans="1:13">
      <c r="B83" s="75"/>
      <c r="C83" s="75"/>
      <c r="D83" s="75"/>
      <c r="E83" s="75"/>
      <c r="F83" s="75"/>
      <c r="G83" s="75"/>
    </row>
    <row r="84" spans="1:13">
      <c r="B84" s="504" t="s">
        <v>0</v>
      </c>
      <c r="C84" s="504"/>
      <c r="D84" s="504"/>
      <c r="E84" s="504"/>
      <c r="F84" s="504"/>
      <c r="G84" s="504"/>
      <c r="H84" s="504"/>
      <c r="I84" s="504"/>
      <c r="J84" s="504"/>
      <c r="K84" s="2"/>
      <c r="L84" s="9">
        <f>SUM(L23:L81)</f>
        <v>100</v>
      </c>
      <c r="M84" s="9"/>
    </row>
  </sheetData>
  <mergeCells count="2">
    <mergeCell ref="B84:J84"/>
    <mergeCell ref="A1:AL2"/>
  </mergeCells>
  <pageMargins left="0.7" right="0.7" top="0.75" bottom="0.75" header="0.3" footer="0.3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L85"/>
  <sheetViews>
    <sheetView topLeftCell="A68" workbookViewId="0">
      <selection activeCell="K7" sqref="K7"/>
    </sheetView>
  </sheetViews>
  <sheetFormatPr defaultRowHeight="15"/>
  <cols>
    <col min="1" max="1" width="33.42578125" style="78" bestFit="1" customWidth="1"/>
    <col min="2" max="2" width="9.28515625" style="78" bestFit="1" customWidth="1"/>
    <col min="3" max="3" width="9.140625" style="78"/>
    <col min="4" max="4" width="16" style="78" customWidth="1"/>
    <col min="5" max="6" width="9.28515625" style="78" bestFit="1" customWidth="1"/>
    <col min="7" max="7" width="9.140625" style="78"/>
    <col min="8" max="8" width="9.28515625" style="78" bestFit="1" customWidth="1"/>
    <col min="9" max="9" width="9.140625" style="78"/>
    <col min="10" max="10" width="15" style="78" bestFit="1" customWidth="1"/>
    <col min="11" max="11" width="9.140625" style="78"/>
    <col min="12" max="12" width="21.85546875" style="78" customWidth="1"/>
    <col min="13" max="13" width="9.140625" style="78"/>
    <col min="14" max="14" width="24.28515625" style="78" bestFit="1" customWidth="1"/>
    <col min="15" max="15" width="9.140625" style="78"/>
    <col min="16" max="16" width="9.28515625" style="78" bestFit="1" customWidth="1"/>
    <col min="17" max="17" width="9.140625" style="78"/>
    <col min="18" max="18" width="21.140625" style="78" bestFit="1" customWidth="1"/>
    <col min="19" max="19" width="9.140625" style="78"/>
    <col min="20" max="20" width="9.28515625" style="78" bestFit="1" customWidth="1"/>
    <col min="21" max="21" width="9.140625" style="78"/>
    <col min="22" max="22" width="27.5703125" style="78" customWidth="1"/>
    <col min="23" max="23" width="9.140625" style="78"/>
    <col min="24" max="24" width="9.28515625" style="78" bestFit="1" customWidth="1"/>
    <col min="25" max="25" width="9.140625" style="78"/>
    <col min="26" max="26" width="20.7109375" style="78" bestFit="1" customWidth="1"/>
    <col min="27" max="27" width="9.140625" style="78"/>
    <col min="28" max="28" width="9.28515625" style="78" bestFit="1" customWidth="1"/>
    <col min="29" max="29" width="9.140625" style="78"/>
    <col min="30" max="30" width="15.5703125" style="78" customWidth="1"/>
    <col min="31" max="31" width="9.140625" style="78"/>
    <col min="32" max="32" width="9.28515625" style="78" bestFit="1" customWidth="1"/>
    <col min="33" max="33" width="9.140625" style="78"/>
    <col min="34" max="34" width="11.42578125" style="78" bestFit="1" customWidth="1"/>
    <col min="35" max="35" width="9.140625" style="78"/>
    <col min="36" max="36" width="9.28515625" style="78" bestFit="1" customWidth="1"/>
    <col min="37" max="37" width="9.140625" style="78"/>
    <col min="38" max="38" width="9.28515625" style="78" bestFit="1" customWidth="1"/>
    <col min="39" max="16384" width="9.140625" style="78"/>
  </cols>
  <sheetData>
    <row r="1" spans="1:38" ht="15" customHeight="1">
      <c r="A1" s="512" t="s">
        <v>416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7"/>
      <c r="W1" s="507"/>
      <c r="X1" s="507"/>
      <c r="Y1" s="507"/>
      <c r="Z1" s="507"/>
      <c r="AA1" s="507"/>
      <c r="AB1" s="507"/>
      <c r="AC1" s="507"/>
      <c r="AD1" s="507"/>
      <c r="AE1" s="507"/>
      <c r="AF1" s="507"/>
      <c r="AG1" s="507"/>
      <c r="AH1" s="507"/>
      <c r="AI1" s="507"/>
      <c r="AJ1" s="507"/>
      <c r="AK1" s="507"/>
      <c r="AL1" s="508"/>
    </row>
    <row r="2" spans="1:38" ht="15" customHeight="1">
      <c r="A2" s="509"/>
      <c r="B2" s="510"/>
      <c r="C2" s="510"/>
      <c r="D2" s="510"/>
      <c r="E2" s="510"/>
      <c r="F2" s="510"/>
      <c r="G2" s="510"/>
      <c r="H2" s="510"/>
      <c r="I2" s="510"/>
      <c r="J2" s="510"/>
      <c r="K2" s="510"/>
      <c r="L2" s="510"/>
      <c r="M2" s="510"/>
      <c r="N2" s="510"/>
      <c r="O2" s="510"/>
      <c r="P2" s="510"/>
      <c r="Q2" s="510"/>
      <c r="R2" s="510"/>
      <c r="S2" s="510"/>
      <c r="T2" s="510"/>
      <c r="U2" s="510"/>
      <c r="V2" s="510"/>
      <c r="W2" s="510"/>
      <c r="X2" s="510"/>
      <c r="Y2" s="510"/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0"/>
      <c r="AK2" s="510"/>
      <c r="AL2" s="511"/>
    </row>
    <row r="3" spans="1:38" ht="29.25" customHeight="1">
      <c r="A3" s="114" t="s">
        <v>97</v>
      </c>
      <c r="B3" s="113" t="s">
        <v>96</v>
      </c>
      <c r="C3" s="109" t="s">
        <v>93</v>
      </c>
      <c r="D3" s="109" t="s">
        <v>95</v>
      </c>
      <c r="E3" s="109" t="s">
        <v>93</v>
      </c>
      <c r="F3" s="113" t="s">
        <v>94</v>
      </c>
      <c r="G3" s="109" t="s">
        <v>83</v>
      </c>
      <c r="H3" s="109" t="s">
        <v>84</v>
      </c>
      <c r="I3" s="109" t="s">
        <v>93</v>
      </c>
      <c r="J3" s="112" t="s">
        <v>92</v>
      </c>
      <c r="K3" s="109" t="s">
        <v>83</v>
      </c>
      <c r="L3" s="111" t="s">
        <v>91</v>
      </c>
      <c r="M3" s="109" t="s">
        <v>83</v>
      </c>
      <c r="N3" s="109" t="s">
        <v>90</v>
      </c>
      <c r="O3" s="109" t="s">
        <v>83</v>
      </c>
      <c r="P3" s="109" t="s">
        <v>84</v>
      </c>
      <c r="Q3" s="109" t="s">
        <v>83</v>
      </c>
      <c r="R3" s="109" t="s">
        <v>89</v>
      </c>
      <c r="S3" s="109" t="s">
        <v>83</v>
      </c>
      <c r="T3" s="109" t="s">
        <v>84</v>
      </c>
      <c r="U3" s="109" t="s">
        <v>83</v>
      </c>
      <c r="V3" s="109" t="s">
        <v>88</v>
      </c>
      <c r="W3" s="109" t="s">
        <v>83</v>
      </c>
      <c r="X3" s="109" t="s">
        <v>84</v>
      </c>
      <c r="Y3" s="109" t="s">
        <v>83</v>
      </c>
      <c r="Z3" s="109" t="s">
        <v>87</v>
      </c>
      <c r="AA3" s="109" t="s">
        <v>83</v>
      </c>
      <c r="AB3" s="109" t="s">
        <v>84</v>
      </c>
      <c r="AC3" s="109" t="s">
        <v>83</v>
      </c>
      <c r="AD3" s="110" t="s">
        <v>86</v>
      </c>
      <c r="AE3" s="109" t="s">
        <v>83</v>
      </c>
      <c r="AF3" s="109" t="s">
        <v>84</v>
      </c>
      <c r="AG3" s="109" t="s">
        <v>83</v>
      </c>
      <c r="AH3" s="110" t="s">
        <v>85</v>
      </c>
      <c r="AI3" s="109" t="s">
        <v>83</v>
      </c>
      <c r="AJ3" s="109" t="s">
        <v>84</v>
      </c>
      <c r="AK3" s="109" t="s">
        <v>83</v>
      </c>
      <c r="AL3" s="108" t="s">
        <v>82</v>
      </c>
    </row>
    <row r="4" spans="1:38">
      <c r="A4" s="105" t="s">
        <v>415</v>
      </c>
      <c r="B4" s="104">
        <v>13</v>
      </c>
      <c r="C4" s="104">
        <f t="shared" ref="C4:C15" si="0">IF(B4&gt;18.8,$B$27,IF(B4&lt;=-7.175,$B$24,IF(AND(B4&gt;-7.175,B4&lt;=2.4),$B$25,$B$26)))</f>
        <v>10.125</v>
      </c>
      <c r="D4" s="98">
        <v>0</v>
      </c>
      <c r="E4" s="98" t="str">
        <f t="shared" ref="E4:E15" si="1">IF(D4=0,"0",$H$24)</f>
        <v>0</v>
      </c>
      <c r="F4" s="104">
        <v>15.1</v>
      </c>
      <c r="G4" s="104">
        <f t="shared" ref="G4:G15" si="2">IF(F4&gt;62.85,$B$33,IF(F4&lt;=-0.3,$B$30,IF(AND(F4&gt;-0.3,F4&lt;=13.3),$B$31,$B$32)))</f>
        <v>10.125</v>
      </c>
      <c r="H4" s="98">
        <v>0</v>
      </c>
      <c r="I4" s="98" t="str">
        <f t="shared" ref="I4:I15" si="3">IF(H4=0,"0",$H$31)</f>
        <v>0</v>
      </c>
      <c r="J4" s="100">
        <v>-6.9000000000000006E-2</v>
      </c>
      <c r="K4" s="99">
        <f t="shared" ref="K4:K15" si="4">IF(J4&gt;QUARTILE($J$4:$J$15,3),$B$40,IF(AND(J4&lt;=QUARTILE($J$4:$J$15,3),J4&gt;QUARTILE($J$4:$J$15,2)),$B$39,IF(AND(J4&lt;=QUARTILE($J$4:$J$15,2),J4&gt;QUARTILE($J$4:$J$15,1)),$B$38,$B$37)))</f>
        <v>1.25</v>
      </c>
      <c r="L4" s="100">
        <v>-7.3485387266232216E-2</v>
      </c>
      <c r="M4" s="99">
        <f t="shared" ref="M4:M15" si="5">IF(L4&gt;QUARTILE($L$4:$L$15,3),$B$46,IF(AND(L4&lt;=QUARTILE($L$4:$L$15,3),L4&gt;QUARTILE($L$4:$L$15,2)),$B$45,IF(AND(L4&lt;=QUARTILE($L$4:$L$15,2),L4&gt;QUARTILE($L$4:$L$15,1)),$B$44,$B$43)))</f>
        <v>2.5</v>
      </c>
      <c r="N4" s="104">
        <v>-91.14</v>
      </c>
      <c r="O4" s="104">
        <f t="shared" ref="O4:O15" si="6">IF(N4&gt;QUARTILE($N$4:$N$15,3),$B$52,IF(AND(N4&lt;=QUARTILE($N$4:$N$15,3),N4&gt;QUARTILE($N$4:$N$15,2)),$B$51,IF(AND(N4&lt;=QUARTILE($N$4:$N$15,2),N4&gt;QUARTILE($N$4:$N$15,1)),$B$50,$B$49)))</f>
        <v>3.375</v>
      </c>
      <c r="P4" s="43">
        <v>0</v>
      </c>
      <c r="Q4" s="104" t="str">
        <f t="shared" ref="Q4:Q15" si="7">IF(P4=0,"0",$J$49)</f>
        <v>0</v>
      </c>
      <c r="R4" s="100">
        <v>0.46039999999999998</v>
      </c>
      <c r="S4" s="99" t="str">
        <f t="shared" ref="S4:S15" si="8">IF(R4&gt;23.89%,"9",IF(R4&lt;=-3.6%,"2,25",IF(AND(R4&gt;-3.6%,R4&lt;=7.5%),"4,5","6,75")))</f>
        <v>9</v>
      </c>
      <c r="T4" s="102">
        <v>0</v>
      </c>
      <c r="U4" s="102" t="str">
        <f t="shared" ref="U4:U15" si="9">IF(T4=0,"0",$J$55)</f>
        <v>0</v>
      </c>
      <c r="V4" s="100">
        <v>0.2843</v>
      </c>
      <c r="W4" s="99" t="str">
        <f t="shared" ref="W4:W15" si="10">IF(V4&gt;17.69%,"13,5",IF(V4&lt;=-6.09%,"3,375",IF(AND(V4&gt;-6.09%,V4&lt;=4.01%),"6,75","10,125")))</f>
        <v>13,5</v>
      </c>
      <c r="X4" s="102">
        <v>0</v>
      </c>
      <c r="Y4" s="101" t="str">
        <f t="shared" ref="Y4:Y15" si="11">IF(X4=0,"0",$J$61)</f>
        <v>0</v>
      </c>
      <c r="Z4" s="100">
        <v>0.2324</v>
      </c>
      <c r="AA4" s="99" t="str">
        <f t="shared" ref="AA4:AA15" si="12">IF(Z4&gt;13.07%,"13,5",IF(Z4&lt;=-10.86%,"3,375",IF(AND(Z4&gt;-10.86%,Z4&lt;=1.91%),"6,75","10,125")))</f>
        <v>13,5</v>
      </c>
      <c r="AB4" s="102">
        <v>0</v>
      </c>
      <c r="AC4" s="101" t="str">
        <f t="shared" ref="AC4:AC15" si="13">IF(AB4=0,"0",$J$67)</f>
        <v>0</v>
      </c>
      <c r="AD4" s="103">
        <v>1.39720762034982</v>
      </c>
      <c r="AE4" s="103">
        <f t="shared" ref="AE4:AE15" si="14">IF(AD4&gt;QUARTILE($AD$4:$AD$15,3),$B$76,IF(AND(AD4&lt;=QUARTILE($AD$4:$AD$15,3),AD4&gt;QUARTILE($AD$4:$AD$15,2)),$B$75,IF(AND(AD4&lt;=QUARTILE($AD$4:$AD$15,2),AD4&gt;QUARTILE($AD$4:$AD$15,1)),$B$74,$B$73)))</f>
        <v>4.5</v>
      </c>
      <c r="AF4" s="102">
        <v>0</v>
      </c>
      <c r="AG4" s="101" t="str">
        <f t="shared" ref="AG4:AG15" si="15">IF(AF4=0,"0",$J$73)</f>
        <v>0</v>
      </c>
      <c r="AH4" s="100">
        <v>0.20977291159674075</v>
      </c>
      <c r="AI4" s="99">
        <f t="shared" ref="AI4:AI15" si="16">IF(AH4&gt;QUARTILE($AH$4:$AH$15,3),$B$82,IF(AND(AH4&lt;=QUARTILE($AH$4:$AH$15,3),AH4&gt;QUARTILE($AH$4:$AH$15,2)),$B$81,IF(AND(AH4&lt;=QUARTILE($AH$4:$AH$15,2),AH4&gt;QUARTILE($AH$4:$AH$15,1)),$B$80,$B$79)))</f>
        <v>6.75</v>
      </c>
      <c r="AJ4" s="98">
        <v>0</v>
      </c>
      <c r="AK4" s="98" t="str">
        <f t="shared" ref="AK4:AK15" si="17">IF(AJ4=0,"0",$J$79)</f>
        <v>0</v>
      </c>
      <c r="AL4" s="97">
        <f t="shared" ref="AL4:AL15" si="18">C4+E4+G4+I4+K4+M4+O4+Q4+S4+U4+W4+Y4+AA4+AC4+AE4+AG4+AI4+AK4</f>
        <v>74.625</v>
      </c>
    </row>
    <row r="5" spans="1:38">
      <c r="A5" s="105" t="s">
        <v>414</v>
      </c>
      <c r="B5" s="104">
        <v>13.6</v>
      </c>
      <c r="C5" s="104">
        <f t="shared" si="0"/>
        <v>10.125</v>
      </c>
      <c r="D5" s="98">
        <v>1</v>
      </c>
      <c r="E5" s="98">
        <f t="shared" si="1"/>
        <v>1.5</v>
      </c>
      <c r="F5" s="104">
        <v>36.6</v>
      </c>
      <c r="G5" s="104">
        <f t="shared" si="2"/>
        <v>10.125</v>
      </c>
      <c r="H5" s="98">
        <v>1</v>
      </c>
      <c r="I5" s="98">
        <f t="shared" si="3"/>
        <v>1.5</v>
      </c>
      <c r="J5" s="100">
        <v>-6.5100000000000005E-2</v>
      </c>
      <c r="K5" s="99">
        <f t="shared" si="4"/>
        <v>1.25</v>
      </c>
      <c r="L5" s="100">
        <v>-3.293019583821799E-2</v>
      </c>
      <c r="M5" s="99">
        <f t="shared" si="5"/>
        <v>2.5</v>
      </c>
      <c r="N5" s="104">
        <v>-74.33</v>
      </c>
      <c r="O5" s="104">
        <f t="shared" si="6"/>
        <v>3.375</v>
      </c>
      <c r="P5" s="43">
        <v>1</v>
      </c>
      <c r="Q5" s="104">
        <f t="shared" si="7"/>
        <v>0.5</v>
      </c>
      <c r="R5" s="100">
        <v>0.30070000000000002</v>
      </c>
      <c r="S5" s="99" t="str">
        <f t="shared" si="8"/>
        <v>9</v>
      </c>
      <c r="T5" s="102">
        <v>1</v>
      </c>
      <c r="U5" s="102">
        <f t="shared" si="9"/>
        <v>1</v>
      </c>
      <c r="V5" s="100">
        <v>0.14419999999999999</v>
      </c>
      <c r="W5" s="99" t="str">
        <f t="shared" si="10"/>
        <v>10,125</v>
      </c>
      <c r="X5" s="102">
        <v>1</v>
      </c>
      <c r="Y5" s="101">
        <f t="shared" si="11"/>
        <v>1.5</v>
      </c>
      <c r="Z5" s="100">
        <v>0.12620000000000001</v>
      </c>
      <c r="AA5" s="99" t="str">
        <f t="shared" si="12"/>
        <v>10,125</v>
      </c>
      <c r="AB5" s="102">
        <v>1</v>
      </c>
      <c r="AC5" s="101">
        <f t="shared" si="13"/>
        <v>1.5</v>
      </c>
      <c r="AD5" s="103">
        <v>1.1685617675094893</v>
      </c>
      <c r="AE5" s="103">
        <f t="shared" si="14"/>
        <v>3.375</v>
      </c>
      <c r="AF5" s="102">
        <v>1</v>
      </c>
      <c r="AG5" s="101">
        <f t="shared" si="15"/>
        <v>0.5</v>
      </c>
      <c r="AH5" s="100">
        <v>0.26663820312438086</v>
      </c>
      <c r="AI5" s="99">
        <f t="shared" si="16"/>
        <v>6.75</v>
      </c>
      <c r="AJ5" s="98">
        <v>0</v>
      </c>
      <c r="AK5" s="98" t="str">
        <f t="shared" si="17"/>
        <v>0</v>
      </c>
      <c r="AL5" s="97">
        <f t="shared" si="18"/>
        <v>74.75</v>
      </c>
    </row>
    <row r="6" spans="1:38">
      <c r="A6" s="105" t="s">
        <v>413</v>
      </c>
      <c r="B6" s="107">
        <v>-17.600000000000001</v>
      </c>
      <c r="C6" s="104">
        <f t="shared" si="0"/>
        <v>3.375</v>
      </c>
      <c r="D6" s="98">
        <v>0</v>
      </c>
      <c r="E6" s="98" t="str">
        <f t="shared" si="1"/>
        <v>0</v>
      </c>
      <c r="F6" s="107">
        <v>-165</v>
      </c>
      <c r="G6" s="104">
        <f t="shared" si="2"/>
        <v>3.375</v>
      </c>
      <c r="H6" s="98">
        <v>0</v>
      </c>
      <c r="I6" s="98" t="str">
        <f t="shared" si="3"/>
        <v>0</v>
      </c>
      <c r="J6" s="100">
        <v>0.16250000000000001</v>
      </c>
      <c r="K6" s="99">
        <f t="shared" si="4"/>
        <v>3.75</v>
      </c>
      <c r="L6" s="100">
        <v>0.11150499829879619</v>
      </c>
      <c r="M6" s="99">
        <f t="shared" si="5"/>
        <v>3.75</v>
      </c>
      <c r="N6" s="104">
        <v>33.409999999999997</v>
      </c>
      <c r="O6" s="104">
        <f t="shared" si="6"/>
        <v>1.125</v>
      </c>
      <c r="P6" s="43">
        <v>1</v>
      </c>
      <c r="Q6" s="104">
        <f t="shared" si="7"/>
        <v>0.5</v>
      </c>
      <c r="R6" s="100">
        <v>-8.7900000000000006E-2</v>
      </c>
      <c r="S6" s="99" t="str">
        <f t="shared" si="8"/>
        <v>2,25</v>
      </c>
      <c r="T6" s="102">
        <v>0</v>
      </c>
      <c r="U6" s="102" t="str">
        <f t="shared" si="9"/>
        <v>0</v>
      </c>
      <c r="V6" s="100">
        <v>-0.17530000000000001</v>
      </c>
      <c r="W6" s="99" t="str">
        <f t="shared" si="10"/>
        <v>3,375</v>
      </c>
      <c r="X6" s="102">
        <v>0</v>
      </c>
      <c r="Y6" s="101" t="str">
        <f t="shared" si="11"/>
        <v>0</v>
      </c>
      <c r="Z6" s="100">
        <v>-0.21260000000000001</v>
      </c>
      <c r="AA6" s="99" t="str">
        <f t="shared" si="12"/>
        <v>3,375</v>
      </c>
      <c r="AB6" s="102">
        <v>1</v>
      </c>
      <c r="AC6" s="101">
        <f t="shared" si="13"/>
        <v>1.5</v>
      </c>
      <c r="AD6" s="103">
        <v>0.85086064753748791</v>
      </c>
      <c r="AE6" s="103">
        <f t="shared" si="14"/>
        <v>1.125</v>
      </c>
      <c r="AF6" s="102">
        <v>0</v>
      </c>
      <c r="AG6" s="101" t="str">
        <f t="shared" si="15"/>
        <v>0</v>
      </c>
      <c r="AH6" s="100">
        <v>-6.1933128018891379E-2</v>
      </c>
      <c r="AI6" s="99">
        <f t="shared" si="16"/>
        <v>2.25</v>
      </c>
      <c r="AJ6" s="98">
        <v>0</v>
      </c>
      <c r="AK6" s="98" t="str">
        <f t="shared" si="17"/>
        <v>0</v>
      </c>
      <c r="AL6" s="97">
        <f t="shared" si="18"/>
        <v>29.75</v>
      </c>
    </row>
    <row r="7" spans="1:38">
      <c r="A7" s="105" t="s">
        <v>412</v>
      </c>
      <c r="B7" s="104">
        <v>4.4000000000000004</v>
      </c>
      <c r="C7" s="104">
        <f t="shared" si="0"/>
        <v>10.125</v>
      </c>
      <c r="D7" s="98">
        <v>1</v>
      </c>
      <c r="E7" s="98">
        <f t="shared" si="1"/>
        <v>1.5</v>
      </c>
      <c r="F7" s="104">
        <v>9.5</v>
      </c>
      <c r="G7" s="104">
        <f t="shared" si="2"/>
        <v>6.75</v>
      </c>
      <c r="H7" s="98">
        <v>0</v>
      </c>
      <c r="I7" s="98" t="str">
        <f t="shared" si="3"/>
        <v>0</v>
      </c>
      <c r="J7" s="100">
        <v>0.27750000000000002</v>
      </c>
      <c r="K7" s="99">
        <f t="shared" si="4"/>
        <v>5</v>
      </c>
      <c r="L7" s="100">
        <v>1.12091785762366</v>
      </c>
      <c r="M7" s="99">
        <f t="shared" si="5"/>
        <v>3.75</v>
      </c>
      <c r="N7" s="104">
        <v>12.17</v>
      </c>
      <c r="O7" s="104">
        <f t="shared" si="6"/>
        <v>3.375</v>
      </c>
      <c r="P7" s="43">
        <v>0</v>
      </c>
      <c r="Q7" s="104" t="str">
        <f t="shared" si="7"/>
        <v>0</v>
      </c>
      <c r="R7" s="100">
        <v>0.13200000000000001</v>
      </c>
      <c r="S7" s="99" t="str">
        <f t="shared" si="8"/>
        <v>6,75</v>
      </c>
      <c r="T7" s="102">
        <v>1</v>
      </c>
      <c r="U7" s="102">
        <f t="shared" si="9"/>
        <v>1</v>
      </c>
      <c r="V7" s="100">
        <v>3.15E-2</v>
      </c>
      <c r="W7" s="99" t="str">
        <f t="shared" si="10"/>
        <v>6,75</v>
      </c>
      <c r="X7" s="102">
        <v>1</v>
      </c>
      <c r="Y7" s="101">
        <f t="shared" si="11"/>
        <v>1.5</v>
      </c>
      <c r="Z7" s="100">
        <v>1.0999999999999999E-2</v>
      </c>
      <c r="AA7" s="99" t="str">
        <f t="shared" si="12"/>
        <v>6,75</v>
      </c>
      <c r="AB7" s="102">
        <v>1</v>
      </c>
      <c r="AC7" s="101">
        <f t="shared" si="13"/>
        <v>1.5</v>
      </c>
      <c r="AD7" s="103">
        <v>3.0386971137995809</v>
      </c>
      <c r="AE7" s="103">
        <f t="shared" si="14"/>
        <v>4.5</v>
      </c>
      <c r="AF7" s="102">
        <v>1</v>
      </c>
      <c r="AG7" s="101">
        <f t="shared" si="15"/>
        <v>0.5</v>
      </c>
      <c r="AH7" s="100">
        <v>2.9710423601191392E-2</v>
      </c>
      <c r="AI7" s="99">
        <f t="shared" si="16"/>
        <v>2.25</v>
      </c>
      <c r="AJ7" s="98">
        <v>1</v>
      </c>
      <c r="AK7" s="98">
        <f t="shared" si="17"/>
        <v>1</v>
      </c>
      <c r="AL7" s="97">
        <f t="shared" si="18"/>
        <v>63</v>
      </c>
    </row>
    <row r="8" spans="1:38">
      <c r="A8" s="105" t="s">
        <v>411</v>
      </c>
      <c r="B8" s="104">
        <v>17.3</v>
      </c>
      <c r="C8" s="104">
        <f t="shared" si="0"/>
        <v>10.125</v>
      </c>
      <c r="D8" s="98">
        <v>0</v>
      </c>
      <c r="E8" s="98" t="str">
        <f t="shared" si="1"/>
        <v>0</v>
      </c>
      <c r="F8" s="104">
        <v>86.5</v>
      </c>
      <c r="G8" s="104">
        <f t="shared" si="2"/>
        <v>13.5</v>
      </c>
      <c r="H8" s="98">
        <v>0</v>
      </c>
      <c r="I8" s="98" t="str">
        <f t="shared" si="3"/>
        <v>0</v>
      </c>
      <c r="J8" s="100">
        <v>0.72860000000000003</v>
      </c>
      <c r="K8" s="99">
        <f t="shared" si="4"/>
        <v>5</v>
      </c>
      <c r="L8" s="100">
        <v>-0.23364969319150722</v>
      </c>
      <c r="M8" s="99">
        <f t="shared" si="5"/>
        <v>1.25</v>
      </c>
      <c r="N8" s="104">
        <v>21.51</v>
      </c>
      <c r="O8" s="104">
        <f t="shared" si="6"/>
        <v>2.25</v>
      </c>
      <c r="P8" s="43">
        <v>0</v>
      </c>
      <c r="Q8" s="104" t="str">
        <f t="shared" si="7"/>
        <v>0</v>
      </c>
      <c r="R8" s="100">
        <v>3.9899999999999998E-2</v>
      </c>
      <c r="S8" s="99" t="str">
        <f t="shared" si="8"/>
        <v>4,5</v>
      </c>
      <c r="T8" s="102">
        <v>0</v>
      </c>
      <c r="U8" s="102" t="str">
        <f t="shared" si="9"/>
        <v>0</v>
      </c>
      <c r="V8" s="100">
        <v>3.8899999999999997E-2</v>
      </c>
      <c r="W8" s="99" t="str">
        <f t="shared" si="10"/>
        <v>6,75</v>
      </c>
      <c r="X8" s="102">
        <v>0</v>
      </c>
      <c r="Y8" s="101" t="str">
        <f t="shared" si="11"/>
        <v>0</v>
      </c>
      <c r="Z8" s="100">
        <v>2.9000000000000001E-2</v>
      </c>
      <c r="AA8" s="99" t="str">
        <f t="shared" si="12"/>
        <v>10,125</v>
      </c>
      <c r="AB8" s="102">
        <v>0</v>
      </c>
      <c r="AC8" s="101" t="str">
        <f t="shared" si="13"/>
        <v>0</v>
      </c>
      <c r="AD8" s="103">
        <v>1.040482705821657</v>
      </c>
      <c r="AE8" s="103">
        <f t="shared" si="14"/>
        <v>2.25</v>
      </c>
      <c r="AF8" s="102">
        <v>0</v>
      </c>
      <c r="AG8" s="101" t="str">
        <f t="shared" si="15"/>
        <v>0</v>
      </c>
      <c r="AH8" s="100">
        <v>310.39100000000002</v>
      </c>
      <c r="AI8" s="99">
        <f t="shared" si="16"/>
        <v>9</v>
      </c>
      <c r="AJ8" s="98">
        <v>0</v>
      </c>
      <c r="AK8" s="98" t="str">
        <f t="shared" si="17"/>
        <v>0</v>
      </c>
      <c r="AL8" s="97">
        <f t="shared" si="18"/>
        <v>64.75</v>
      </c>
    </row>
    <row r="9" spans="1:38">
      <c r="A9" s="105" t="s">
        <v>410</v>
      </c>
      <c r="B9" s="104">
        <v>9.4</v>
      </c>
      <c r="C9" s="104">
        <f t="shared" si="0"/>
        <v>10.125</v>
      </c>
      <c r="D9" s="98">
        <v>0</v>
      </c>
      <c r="E9" s="98" t="str">
        <f t="shared" si="1"/>
        <v>0</v>
      </c>
      <c r="F9" s="106">
        <v>0</v>
      </c>
      <c r="G9" s="104">
        <f t="shared" si="2"/>
        <v>6.75</v>
      </c>
      <c r="H9" s="98">
        <v>0</v>
      </c>
      <c r="I9" s="98" t="str">
        <f t="shared" si="3"/>
        <v>0</v>
      </c>
      <c r="J9" s="100">
        <v>-9.01E-2</v>
      </c>
      <c r="K9" s="99">
        <f t="shared" si="4"/>
        <v>1.25</v>
      </c>
      <c r="L9" s="100">
        <v>-0.61722619470223306</v>
      </c>
      <c r="M9" s="99">
        <f t="shared" si="5"/>
        <v>1.25</v>
      </c>
      <c r="N9" s="104">
        <v>104.41</v>
      </c>
      <c r="O9" s="104">
        <f t="shared" si="6"/>
        <v>1.125</v>
      </c>
      <c r="P9" s="43">
        <v>1</v>
      </c>
      <c r="Q9" s="104">
        <f t="shared" si="7"/>
        <v>0.5</v>
      </c>
      <c r="R9" s="100">
        <v>5.0299999999999997E-2</v>
      </c>
      <c r="S9" s="99" t="str">
        <f t="shared" si="8"/>
        <v>4,5</v>
      </c>
      <c r="T9" s="102">
        <v>0</v>
      </c>
      <c r="U9" s="102" t="str">
        <f t="shared" si="9"/>
        <v>0</v>
      </c>
      <c r="V9" s="100">
        <v>3.73E-2</v>
      </c>
      <c r="W9" s="99" t="str">
        <f t="shared" si="10"/>
        <v>6,75</v>
      </c>
      <c r="X9" s="102">
        <v>0</v>
      </c>
      <c r="Y9" s="101" t="str">
        <f t="shared" si="11"/>
        <v>0</v>
      </c>
      <c r="Z9" s="100">
        <v>3.1199999999999999E-2</v>
      </c>
      <c r="AA9" s="99" t="str">
        <f t="shared" si="12"/>
        <v>10,125</v>
      </c>
      <c r="AB9" s="102">
        <v>0</v>
      </c>
      <c r="AC9" s="101" t="str">
        <f t="shared" si="13"/>
        <v>0</v>
      </c>
      <c r="AD9" s="103">
        <v>1.0387078815224511</v>
      </c>
      <c r="AE9" s="103">
        <f t="shared" si="14"/>
        <v>1.125</v>
      </c>
      <c r="AF9" s="102">
        <v>0</v>
      </c>
      <c r="AG9" s="101" t="str">
        <f t="shared" si="15"/>
        <v>0</v>
      </c>
      <c r="AH9" s="100">
        <v>663.15499999999997</v>
      </c>
      <c r="AI9" s="99">
        <f t="shared" si="16"/>
        <v>9</v>
      </c>
      <c r="AJ9" s="98">
        <v>0</v>
      </c>
      <c r="AK9" s="98" t="str">
        <f t="shared" si="17"/>
        <v>0</v>
      </c>
      <c r="AL9" s="97">
        <f t="shared" si="18"/>
        <v>52.5</v>
      </c>
    </row>
    <row r="10" spans="1:38">
      <c r="A10" s="105" t="s">
        <v>409</v>
      </c>
      <c r="B10" s="104">
        <v>5.2</v>
      </c>
      <c r="C10" s="104">
        <f t="shared" si="0"/>
        <v>10.125</v>
      </c>
      <c r="D10" s="98">
        <v>1</v>
      </c>
      <c r="E10" s="98">
        <f t="shared" si="1"/>
        <v>1.5</v>
      </c>
      <c r="F10" s="104">
        <v>6.1</v>
      </c>
      <c r="G10" s="104">
        <f t="shared" si="2"/>
        <v>6.75</v>
      </c>
      <c r="H10" s="98">
        <v>1</v>
      </c>
      <c r="I10" s="98">
        <f t="shared" si="3"/>
        <v>1.5</v>
      </c>
      <c r="J10" s="100">
        <v>-3.1899999999999998E-2</v>
      </c>
      <c r="K10" s="99">
        <f t="shared" si="4"/>
        <v>2.5</v>
      </c>
      <c r="L10" s="100">
        <v>1.9221615307980349</v>
      </c>
      <c r="M10" s="99">
        <f t="shared" si="5"/>
        <v>5</v>
      </c>
      <c r="N10" s="104">
        <v>133.56</v>
      </c>
      <c r="O10" s="104">
        <f t="shared" si="6"/>
        <v>1.125</v>
      </c>
      <c r="P10" s="43">
        <v>0</v>
      </c>
      <c r="Q10" s="104" t="str">
        <f t="shared" si="7"/>
        <v>0</v>
      </c>
      <c r="R10" s="100">
        <v>0.99429999999999996</v>
      </c>
      <c r="S10" s="99" t="str">
        <f t="shared" si="8"/>
        <v>9</v>
      </c>
      <c r="T10" s="102">
        <v>1</v>
      </c>
      <c r="U10" s="102">
        <f t="shared" si="9"/>
        <v>1</v>
      </c>
      <c r="V10" s="100">
        <v>0.1226</v>
      </c>
      <c r="W10" s="99" t="str">
        <f t="shared" si="10"/>
        <v>10,125</v>
      </c>
      <c r="X10" s="102">
        <v>1</v>
      </c>
      <c r="Y10" s="101">
        <f t="shared" si="11"/>
        <v>1.5</v>
      </c>
      <c r="Z10" s="100">
        <v>5.6599999999999998E-2</v>
      </c>
      <c r="AA10" s="99" t="str">
        <f t="shared" si="12"/>
        <v>10,125</v>
      </c>
      <c r="AB10" s="102">
        <v>1</v>
      </c>
      <c r="AC10" s="101">
        <f t="shared" si="13"/>
        <v>1.5</v>
      </c>
      <c r="AD10" s="103">
        <v>1.1397936883025905</v>
      </c>
      <c r="AE10" s="103">
        <f t="shared" si="14"/>
        <v>3.375</v>
      </c>
      <c r="AF10" s="102">
        <v>1</v>
      </c>
      <c r="AG10" s="101">
        <f t="shared" si="15"/>
        <v>0.5</v>
      </c>
      <c r="AH10" s="100">
        <v>7.6815905247187163E-2</v>
      </c>
      <c r="AI10" s="99">
        <f t="shared" si="16"/>
        <v>4.5</v>
      </c>
      <c r="AJ10" s="98">
        <v>1</v>
      </c>
      <c r="AK10" s="98">
        <f t="shared" si="17"/>
        <v>1</v>
      </c>
      <c r="AL10" s="97">
        <f t="shared" si="18"/>
        <v>71.125</v>
      </c>
    </row>
    <row r="11" spans="1:38">
      <c r="A11" s="105" t="s">
        <v>408</v>
      </c>
      <c r="B11" s="104">
        <v>17.2</v>
      </c>
      <c r="C11" s="104">
        <f t="shared" si="0"/>
        <v>10.125</v>
      </c>
      <c r="D11" s="98">
        <v>1</v>
      </c>
      <c r="E11" s="98">
        <f t="shared" si="1"/>
        <v>1.5</v>
      </c>
      <c r="F11" s="104">
        <v>-4.9000000000000004</v>
      </c>
      <c r="G11" s="104">
        <f t="shared" si="2"/>
        <v>3.375</v>
      </c>
      <c r="H11" s="98">
        <v>0</v>
      </c>
      <c r="I11" s="98" t="str">
        <f t="shared" si="3"/>
        <v>0</v>
      </c>
      <c r="J11" s="100">
        <v>2.5100000000000001E-2</v>
      </c>
      <c r="K11" s="99">
        <f t="shared" si="4"/>
        <v>2.5</v>
      </c>
      <c r="L11" s="100">
        <v>1.4292004767523054</v>
      </c>
      <c r="M11" s="99">
        <f t="shared" si="5"/>
        <v>5</v>
      </c>
      <c r="N11" s="104">
        <v>-163.97</v>
      </c>
      <c r="O11" s="104">
        <f t="shared" si="6"/>
        <v>4.5</v>
      </c>
      <c r="P11" s="43">
        <v>1</v>
      </c>
      <c r="Q11" s="104">
        <f t="shared" si="7"/>
        <v>0.5</v>
      </c>
      <c r="R11" s="100">
        <v>0.42459999999999998</v>
      </c>
      <c r="S11" s="99" t="str">
        <f t="shared" si="8"/>
        <v>9</v>
      </c>
      <c r="T11" s="102">
        <v>1</v>
      </c>
      <c r="U11" s="102">
        <f t="shared" si="9"/>
        <v>1</v>
      </c>
      <c r="V11" s="100">
        <v>0.1638</v>
      </c>
      <c r="W11" s="99" t="str">
        <f t="shared" si="10"/>
        <v>10,125</v>
      </c>
      <c r="X11" s="102">
        <v>1</v>
      </c>
      <c r="Y11" s="101">
        <f t="shared" si="11"/>
        <v>1.5</v>
      </c>
      <c r="Z11" s="100">
        <v>5.8200000000000002E-2</v>
      </c>
      <c r="AA11" s="99" t="str">
        <f t="shared" si="12"/>
        <v>10,125</v>
      </c>
      <c r="AB11" s="102">
        <v>1</v>
      </c>
      <c r="AC11" s="101">
        <f t="shared" si="13"/>
        <v>1.5</v>
      </c>
      <c r="AD11" s="103">
        <v>1.19591749835484</v>
      </c>
      <c r="AE11" s="103">
        <f t="shared" si="14"/>
        <v>3.375</v>
      </c>
      <c r="AF11" s="102">
        <v>1</v>
      </c>
      <c r="AG11" s="101">
        <f t="shared" si="15"/>
        <v>0.5</v>
      </c>
      <c r="AH11" s="100">
        <v>0.1227833893023119</v>
      </c>
      <c r="AI11" s="99">
        <f t="shared" si="16"/>
        <v>4.5</v>
      </c>
      <c r="AJ11" s="98">
        <v>1</v>
      </c>
      <c r="AK11" s="98">
        <f t="shared" si="17"/>
        <v>1</v>
      </c>
      <c r="AL11" s="97">
        <f t="shared" si="18"/>
        <v>70.125</v>
      </c>
    </row>
    <row r="12" spans="1:38">
      <c r="A12" s="105" t="s">
        <v>407</v>
      </c>
      <c r="B12" s="104">
        <v>9.5</v>
      </c>
      <c r="C12" s="104">
        <f t="shared" si="0"/>
        <v>10.125</v>
      </c>
      <c r="D12" s="98">
        <v>1</v>
      </c>
      <c r="E12" s="98">
        <f t="shared" si="1"/>
        <v>1.5</v>
      </c>
      <c r="F12" s="104">
        <v>-1.4</v>
      </c>
      <c r="G12" s="104">
        <f t="shared" si="2"/>
        <v>3.375</v>
      </c>
      <c r="H12" s="98">
        <v>0</v>
      </c>
      <c r="I12" s="98" t="str">
        <f t="shared" si="3"/>
        <v>0</v>
      </c>
      <c r="J12" s="100">
        <v>0.23649999999999999</v>
      </c>
      <c r="K12" s="99">
        <f t="shared" si="4"/>
        <v>5</v>
      </c>
      <c r="L12" s="100">
        <v>1.1605632857590265</v>
      </c>
      <c r="M12" s="99">
        <f t="shared" si="5"/>
        <v>5</v>
      </c>
      <c r="N12" s="104">
        <v>-179.01</v>
      </c>
      <c r="O12" s="104">
        <f t="shared" si="6"/>
        <v>4.5</v>
      </c>
      <c r="P12" s="43">
        <v>1</v>
      </c>
      <c r="Q12" s="104">
        <f t="shared" si="7"/>
        <v>0.5</v>
      </c>
      <c r="R12" s="100">
        <v>0.1928</v>
      </c>
      <c r="S12" s="99" t="str">
        <f t="shared" si="8"/>
        <v>6,75</v>
      </c>
      <c r="T12" s="102">
        <v>1</v>
      </c>
      <c r="U12" s="102">
        <f t="shared" si="9"/>
        <v>1</v>
      </c>
      <c r="V12" s="100">
        <v>7.2099999999999997E-2</v>
      </c>
      <c r="W12" s="99" t="str">
        <f t="shared" si="10"/>
        <v>10,125</v>
      </c>
      <c r="X12" s="102">
        <v>1</v>
      </c>
      <c r="Y12" s="101">
        <f t="shared" si="11"/>
        <v>1.5</v>
      </c>
      <c r="Z12" s="100">
        <v>6.4000000000000003E-3</v>
      </c>
      <c r="AA12" s="99" t="str">
        <f t="shared" si="12"/>
        <v>6,75</v>
      </c>
      <c r="AB12" s="102">
        <v>1</v>
      </c>
      <c r="AC12" s="101">
        <f t="shared" si="13"/>
        <v>1.5</v>
      </c>
      <c r="AD12" s="103">
        <v>1.077678962138688</v>
      </c>
      <c r="AE12" s="103">
        <f t="shared" si="14"/>
        <v>2.25</v>
      </c>
      <c r="AF12" s="102">
        <v>1</v>
      </c>
      <c r="AG12" s="101">
        <f t="shared" si="15"/>
        <v>0.5</v>
      </c>
      <c r="AH12" s="100">
        <v>0.13619588144210487</v>
      </c>
      <c r="AI12" s="99">
        <f t="shared" si="16"/>
        <v>4.5</v>
      </c>
      <c r="AJ12" s="98">
        <v>1</v>
      </c>
      <c r="AK12" s="98">
        <f t="shared" si="17"/>
        <v>1</v>
      </c>
      <c r="AL12" s="97">
        <f t="shared" si="18"/>
        <v>65.875</v>
      </c>
    </row>
    <row r="13" spans="1:38">
      <c r="A13" s="105" t="s">
        <v>406</v>
      </c>
      <c r="B13" s="104">
        <v>9.6</v>
      </c>
      <c r="C13" s="104">
        <f t="shared" si="0"/>
        <v>10.125</v>
      </c>
      <c r="D13" s="98">
        <v>1</v>
      </c>
      <c r="E13" s="98">
        <f t="shared" si="1"/>
        <v>1.5</v>
      </c>
      <c r="F13" s="104">
        <v>19.2</v>
      </c>
      <c r="G13" s="104">
        <f t="shared" si="2"/>
        <v>10.125</v>
      </c>
      <c r="H13" s="98">
        <v>1</v>
      </c>
      <c r="I13" s="98">
        <f t="shared" si="3"/>
        <v>1.5</v>
      </c>
      <c r="J13" s="100">
        <v>0.14410000000000001</v>
      </c>
      <c r="K13" s="99">
        <f t="shared" si="4"/>
        <v>3.75</v>
      </c>
      <c r="L13" s="100">
        <v>0.65719000471475719</v>
      </c>
      <c r="M13" s="99">
        <f t="shared" si="5"/>
        <v>3.75</v>
      </c>
      <c r="N13" s="104">
        <v>30.28</v>
      </c>
      <c r="O13" s="104">
        <f t="shared" si="6"/>
        <v>2.25</v>
      </c>
      <c r="P13" s="43">
        <v>1</v>
      </c>
      <c r="Q13" s="104">
        <f t="shared" si="7"/>
        <v>0.5</v>
      </c>
      <c r="R13" s="100">
        <v>3.8800000000000001E-2</v>
      </c>
      <c r="S13" s="99" t="str">
        <f t="shared" si="8"/>
        <v>4,5</v>
      </c>
      <c r="T13" s="102">
        <v>1</v>
      </c>
      <c r="U13" s="102">
        <f t="shared" si="9"/>
        <v>1</v>
      </c>
      <c r="V13" s="100">
        <v>2.9899999999999999E-2</v>
      </c>
      <c r="W13" s="99" t="str">
        <f t="shared" si="10"/>
        <v>6,75</v>
      </c>
      <c r="X13" s="102">
        <v>1</v>
      </c>
      <c r="Y13" s="101">
        <f t="shared" si="11"/>
        <v>1.5</v>
      </c>
      <c r="Z13" s="100">
        <v>2.0400000000000001E-2</v>
      </c>
      <c r="AA13" s="99" t="str">
        <f t="shared" si="12"/>
        <v>10,125</v>
      </c>
      <c r="AB13" s="102">
        <v>1</v>
      </c>
      <c r="AC13" s="101">
        <f t="shared" si="13"/>
        <v>1.5</v>
      </c>
      <c r="AD13" s="103">
        <v>1.0308419097012753</v>
      </c>
      <c r="AE13" s="103">
        <f t="shared" si="14"/>
        <v>1.125</v>
      </c>
      <c r="AF13" s="102">
        <v>1</v>
      </c>
      <c r="AG13" s="101">
        <f t="shared" si="15"/>
        <v>0.5</v>
      </c>
      <c r="AH13" s="100">
        <v>0.89568835098335853</v>
      </c>
      <c r="AI13" s="99">
        <f t="shared" si="16"/>
        <v>9</v>
      </c>
      <c r="AJ13" s="98">
        <v>1</v>
      </c>
      <c r="AK13" s="98">
        <f t="shared" si="17"/>
        <v>1</v>
      </c>
      <c r="AL13" s="97">
        <f t="shared" si="18"/>
        <v>70.5</v>
      </c>
    </row>
    <row r="14" spans="1:38">
      <c r="A14" s="105" t="s">
        <v>405</v>
      </c>
      <c r="B14" s="104">
        <v>10.4</v>
      </c>
      <c r="C14" s="104">
        <f t="shared" si="0"/>
        <v>10.125</v>
      </c>
      <c r="D14" s="98">
        <v>0</v>
      </c>
      <c r="E14" s="98" t="str">
        <f t="shared" si="1"/>
        <v>0</v>
      </c>
      <c r="F14" s="104">
        <v>-1.5</v>
      </c>
      <c r="G14" s="104">
        <f t="shared" si="2"/>
        <v>3.375</v>
      </c>
      <c r="H14" s="98">
        <v>1</v>
      </c>
      <c r="I14" s="98">
        <f t="shared" si="3"/>
        <v>1.5</v>
      </c>
      <c r="J14" s="100">
        <v>0.14480000000000001</v>
      </c>
      <c r="K14" s="99">
        <f t="shared" si="4"/>
        <v>3.75</v>
      </c>
      <c r="L14" s="100">
        <v>-0.94899937229996678</v>
      </c>
      <c r="M14" s="99">
        <f t="shared" si="5"/>
        <v>1.25</v>
      </c>
      <c r="N14" s="104">
        <v>32.130000000000003</v>
      </c>
      <c r="O14" s="104">
        <f t="shared" si="6"/>
        <v>2.25</v>
      </c>
      <c r="P14" s="43">
        <v>0</v>
      </c>
      <c r="Q14" s="104" t="str">
        <f t="shared" si="7"/>
        <v>0</v>
      </c>
      <c r="R14" s="100">
        <v>0.1075</v>
      </c>
      <c r="S14" s="99" t="str">
        <f t="shared" si="8"/>
        <v>6,75</v>
      </c>
      <c r="T14" s="102">
        <v>0</v>
      </c>
      <c r="U14" s="102" t="str">
        <f t="shared" si="9"/>
        <v>0</v>
      </c>
      <c r="V14" s="100">
        <v>5.5100000000000003E-2</v>
      </c>
      <c r="W14" s="99" t="str">
        <f t="shared" si="10"/>
        <v>10,125</v>
      </c>
      <c r="X14" s="102">
        <v>0</v>
      </c>
      <c r="Y14" s="101" t="str">
        <f t="shared" si="11"/>
        <v>0</v>
      </c>
      <c r="Z14" s="100">
        <v>6.4999999999999997E-3</v>
      </c>
      <c r="AA14" s="99" t="str">
        <f t="shared" si="12"/>
        <v>6,75</v>
      </c>
      <c r="AB14" s="102">
        <v>0</v>
      </c>
      <c r="AC14" s="101" t="str">
        <f t="shared" si="13"/>
        <v>0</v>
      </c>
      <c r="AD14" s="103">
        <v>1.0586144767716603</v>
      </c>
      <c r="AE14" s="103">
        <f t="shared" si="14"/>
        <v>2.25</v>
      </c>
      <c r="AF14" s="102">
        <v>0</v>
      </c>
      <c r="AG14" s="101" t="str">
        <f t="shared" si="15"/>
        <v>0</v>
      </c>
      <c r="AH14" s="100">
        <v>6.8158477847115234E-2</v>
      </c>
      <c r="AI14" s="99">
        <f t="shared" si="16"/>
        <v>2.25</v>
      </c>
      <c r="AJ14" s="98">
        <v>0</v>
      </c>
      <c r="AK14" s="98" t="str">
        <f t="shared" si="17"/>
        <v>0</v>
      </c>
      <c r="AL14" s="97">
        <f t="shared" si="18"/>
        <v>50.375</v>
      </c>
    </row>
    <row r="15" spans="1:38" ht="15.75" thickBot="1">
      <c r="A15" s="96" t="s">
        <v>404</v>
      </c>
      <c r="B15" s="94">
        <v>17.899999999999999</v>
      </c>
      <c r="C15" s="94">
        <f t="shared" si="0"/>
        <v>10.125</v>
      </c>
      <c r="D15" s="88">
        <v>1</v>
      </c>
      <c r="E15" s="88">
        <f t="shared" si="1"/>
        <v>1.5</v>
      </c>
      <c r="F15" s="94">
        <v>19.3</v>
      </c>
      <c r="G15" s="94">
        <f t="shared" si="2"/>
        <v>10.125</v>
      </c>
      <c r="H15" s="88">
        <v>1</v>
      </c>
      <c r="I15" s="88">
        <f t="shared" si="3"/>
        <v>1.5</v>
      </c>
      <c r="J15" s="90">
        <v>2.1399999999999999E-2</v>
      </c>
      <c r="K15" s="89">
        <f t="shared" si="4"/>
        <v>2.5</v>
      </c>
      <c r="L15" s="90">
        <v>1.6371261407287341E-2</v>
      </c>
      <c r="M15" s="89">
        <f t="shared" si="5"/>
        <v>2.5</v>
      </c>
      <c r="N15" s="94">
        <v>-195.29</v>
      </c>
      <c r="O15" s="94">
        <f t="shared" si="6"/>
        <v>4.5</v>
      </c>
      <c r="P15" s="95">
        <v>1</v>
      </c>
      <c r="Q15" s="94">
        <f t="shared" si="7"/>
        <v>0.5</v>
      </c>
      <c r="R15" s="90">
        <v>0.63270000000000004</v>
      </c>
      <c r="S15" s="89" t="str">
        <f t="shared" si="8"/>
        <v>9</v>
      </c>
      <c r="T15" s="92">
        <v>1</v>
      </c>
      <c r="U15" s="92">
        <f t="shared" si="9"/>
        <v>1</v>
      </c>
      <c r="V15" s="90">
        <v>0.52539999999999998</v>
      </c>
      <c r="W15" s="89" t="str">
        <f t="shared" si="10"/>
        <v>13,5</v>
      </c>
      <c r="X15" s="92">
        <v>1</v>
      </c>
      <c r="Y15" s="91">
        <f t="shared" si="11"/>
        <v>1.5</v>
      </c>
      <c r="Z15" s="90">
        <v>0.4889</v>
      </c>
      <c r="AA15" s="89" t="str">
        <f t="shared" si="12"/>
        <v>13,5</v>
      </c>
      <c r="AB15" s="92">
        <v>1</v>
      </c>
      <c r="AC15" s="91">
        <f t="shared" si="13"/>
        <v>1.5</v>
      </c>
      <c r="AD15" s="93">
        <v>2.1070989897623997</v>
      </c>
      <c r="AE15" s="93">
        <f t="shared" si="14"/>
        <v>4.5</v>
      </c>
      <c r="AF15" s="92">
        <v>1</v>
      </c>
      <c r="AG15" s="91">
        <f t="shared" si="15"/>
        <v>0.5</v>
      </c>
      <c r="AH15" s="90">
        <v>0.23910160585522836</v>
      </c>
      <c r="AI15" s="89">
        <f t="shared" si="16"/>
        <v>6.75</v>
      </c>
      <c r="AJ15" s="88">
        <v>1</v>
      </c>
      <c r="AK15" s="88">
        <f t="shared" si="17"/>
        <v>1</v>
      </c>
      <c r="AL15" s="87">
        <f t="shared" si="18"/>
        <v>86</v>
      </c>
    </row>
    <row r="16" spans="1:38">
      <c r="B16" s="81"/>
      <c r="C16" s="81"/>
    </row>
    <row r="17" spans="1:13">
      <c r="B17" s="81"/>
      <c r="C17" s="81"/>
    </row>
    <row r="18" spans="1:13">
      <c r="B18" s="81"/>
      <c r="C18" s="81"/>
    </row>
    <row r="19" spans="1:13">
      <c r="B19" s="81"/>
      <c r="C19" s="81"/>
    </row>
    <row r="22" spans="1:13">
      <c r="A22" s="86" t="s">
        <v>60</v>
      </c>
      <c r="B22" s="86" t="s">
        <v>59</v>
      </c>
      <c r="C22" s="86"/>
      <c r="D22" s="86"/>
      <c r="E22" s="86"/>
      <c r="F22" s="86" t="s">
        <v>58</v>
      </c>
      <c r="G22" s="86"/>
      <c r="H22" s="85"/>
      <c r="I22" s="85"/>
      <c r="J22" s="85"/>
      <c r="K22" s="85"/>
      <c r="L22" s="85" t="s">
        <v>57</v>
      </c>
      <c r="M22" s="85"/>
    </row>
    <row r="23" spans="1:13">
      <c r="A23" s="82" t="s">
        <v>56</v>
      </c>
      <c r="B23" s="9">
        <v>13.5</v>
      </c>
      <c r="C23" s="9"/>
      <c r="D23" s="84"/>
      <c r="E23" s="84"/>
      <c r="F23" s="9">
        <f>L23*0.1</f>
        <v>1.5</v>
      </c>
      <c r="G23" s="9"/>
      <c r="H23" s="8"/>
      <c r="I23" s="83"/>
      <c r="J23" s="83"/>
      <c r="K23" s="83"/>
      <c r="L23" s="9">
        <v>15</v>
      </c>
      <c r="M23" s="9"/>
    </row>
    <row r="24" spans="1:13">
      <c r="A24" s="78" t="s">
        <v>403</v>
      </c>
      <c r="B24" s="3">
        <f>B23*0.25</f>
        <v>3.375</v>
      </c>
      <c r="C24" s="75"/>
      <c r="D24" s="75"/>
      <c r="E24" s="75"/>
      <c r="F24" s="3" t="s">
        <v>7</v>
      </c>
      <c r="G24" s="3"/>
      <c r="H24">
        <v>1.5</v>
      </c>
    </row>
    <row r="25" spans="1:13">
      <c r="A25" s="78" t="s">
        <v>402</v>
      </c>
      <c r="B25" s="3">
        <f>B23*0.5</f>
        <v>6.75</v>
      </c>
      <c r="C25" s="75"/>
      <c r="D25" s="75"/>
      <c r="E25" s="75"/>
      <c r="F25" s="3" t="s">
        <v>4</v>
      </c>
      <c r="G25" s="3"/>
      <c r="H25">
        <v>0</v>
      </c>
    </row>
    <row r="26" spans="1:13">
      <c r="A26" s="78" t="s">
        <v>401</v>
      </c>
      <c r="B26" s="3">
        <f>B23*0.75</f>
        <v>10.125</v>
      </c>
      <c r="C26" s="75"/>
      <c r="D26" s="75"/>
      <c r="E26" s="75"/>
      <c r="F26" s="3"/>
      <c r="G26" s="3"/>
      <c r="H26"/>
    </row>
    <row r="27" spans="1:13">
      <c r="A27" s="78" t="s">
        <v>400</v>
      </c>
      <c r="B27" s="3">
        <f>B23*1</f>
        <v>13.5</v>
      </c>
      <c r="C27" s="75"/>
      <c r="D27" s="75"/>
      <c r="E27" s="75"/>
      <c r="F27" s="3"/>
      <c r="G27" s="3"/>
      <c r="H27"/>
    </row>
    <row r="28" spans="1:13">
      <c r="B28" s="3"/>
      <c r="C28" s="75"/>
      <c r="D28" s="75"/>
      <c r="E28" s="75"/>
      <c r="F28" s="3"/>
      <c r="G28" s="3"/>
      <c r="H28"/>
    </row>
    <row r="29" spans="1:13">
      <c r="A29" s="82" t="s">
        <v>51</v>
      </c>
      <c r="B29" s="9">
        <v>13.5</v>
      </c>
      <c r="C29" s="75"/>
      <c r="D29" s="75"/>
      <c r="E29" s="75"/>
      <c r="F29" s="3"/>
      <c r="G29" s="3"/>
      <c r="H29"/>
    </row>
    <row r="30" spans="1:13">
      <c r="A30" s="78" t="s">
        <v>399</v>
      </c>
      <c r="B30" s="3">
        <f>B29*0.25</f>
        <v>3.375</v>
      </c>
      <c r="C30" s="9"/>
      <c r="D30" s="84"/>
      <c r="E30" s="84"/>
      <c r="F30" s="9">
        <f>L30*0.1</f>
        <v>1.5</v>
      </c>
      <c r="G30" s="9"/>
      <c r="H30" s="8"/>
      <c r="I30" s="83"/>
      <c r="J30" s="83"/>
      <c r="K30" s="83"/>
      <c r="L30" s="9">
        <v>15</v>
      </c>
      <c r="M30" s="9"/>
    </row>
    <row r="31" spans="1:13">
      <c r="A31" s="78" t="s">
        <v>398</v>
      </c>
      <c r="B31" s="3">
        <f>B29*0.5</f>
        <v>6.75</v>
      </c>
      <c r="C31" s="75"/>
      <c r="D31" s="75"/>
      <c r="E31" s="75"/>
      <c r="F31" s="3" t="s">
        <v>7</v>
      </c>
      <c r="G31" s="3"/>
      <c r="H31">
        <v>1.5</v>
      </c>
    </row>
    <row r="32" spans="1:13">
      <c r="A32" s="78" t="s">
        <v>397</v>
      </c>
      <c r="B32" s="3">
        <f>B29*0.75</f>
        <v>10.125</v>
      </c>
      <c r="C32" s="75"/>
      <c r="D32" s="75"/>
      <c r="E32" s="75"/>
      <c r="F32" s="3" t="s">
        <v>4</v>
      </c>
      <c r="G32" s="3"/>
      <c r="H32">
        <v>0</v>
      </c>
    </row>
    <row r="33" spans="1:13">
      <c r="A33" s="78" t="s">
        <v>396</v>
      </c>
      <c r="B33" s="3">
        <f>B29*1</f>
        <v>13.5</v>
      </c>
      <c r="C33" s="75"/>
      <c r="D33" s="75"/>
      <c r="E33" s="75"/>
      <c r="F33" s="3"/>
      <c r="G33" s="3"/>
      <c r="H33"/>
    </row>
    <row r="34" spans="1:13">
      <c r="B34" s="3"/>
      <c r="C34" s="75"/>
      <c r="D34" s="75"/>
      <c r="E34" s="75"/>
      <c r="F34" s="3"/>
      <c r="G34" s="3"/>
      <c r="H34"/>
    </row>
    <row r="35" spans="1:13">
      <c r="B35" s="3"/>
      <c r="C35" s="75"/>
      <c r="D35" s="75"/>
      <c r="E35" s="75"/>
      <c r="F35" s="3"/>
      <c r="G35" s="3"/>
      <c r="H35"/>
    </row>
    <row r="36" spans="1:13">
      <c r="A36" s="82" t="s">
        <v>46</v>
      </c>
      <c r="B36" s="9">
        <v>5</v>
      </c>
      <c r="C36" s="5"/>
      <c r="D36" s="75" t="s">
        <v>10</v>
      </c>
      <c r="E36" s="75"/>
      <c r="F36" s="3"/>
      <c r="G36" s="3"/>
      <c r="H36"/>
      <c r="L36" s="2">
        <v>5</v>
      </c>
      <c r="M36" s="2"/>
    </row>
    <row r="37" spans="1:13">
      <c r="A37" s="78" t="s">
        <v>395</v>
      </c>
      <c r="B37" s="3">
        <f>B36*0.25</f>
        <v>1.25</v>
      </c>
      <c r="C37" s="75"/>
      <c r="D37" s="75" t="s">
        <v>8</v>
      </c>
      <c r="E37" s="54">
        <f>QUARTILE(J4:J15,1)</f>
        <v>-4.02E-2</v>
      </c>
      <c r="F37" s="3"/>
      <c r="G37" s="3"/>
      <c r="H37"/>
    </row>
    <row r="38" spans="1:13">
      <c r="A38" s="78" t="s">
        <v>394</v>
      </c>
      <c r="B38" s="3">
        <f>B36*0.5</f>
        <v>2.5</v>
      </c>
      <c r="C38" s="75"/>
      <c r="D38" s="75" t="s">
        <v>5</v>
      </c>
      <c r="E38" s="54">
        <f>QUARTILE(J4:J15,2)</f>
        <v>8.4600000000000009E-2</v>
      </c>
      <c r="F38" s="3"/>
      <c r="G38" s="3"/>
      <c r="H38"/>
    </row>
    <row r="39" spans="1:13">
      <c r="A39" s="78" t="s">
        <v>393</v>
      </c>
      <c r="B39" s="3">
        <f>B36*0.75</f>
        <v>3.75</v>
      </c>
      <c r="C39" s="75"/>
      <c r="D39" s="75" t="s">
        <v>2</v>
      </c>
      <c r="E39" s="54">
        <f>QUARTILE(J4:J15,3)</f>
        <v>0.18099999999999999</v>
      </c>
      <c r="F39" s="3"/>
      <c r="G39" s="3"/>
      <c r="H39"/>
    </row>
    <row r="40" spans="1:13">
      <c r="A40" s="78" t="s">
        <v>392</v>
      </c>
      <c r="B40" s="3">
        <f>B36*1</f>
        <v>5</v>
      </c>
      <c r="C40" s="75"/>
      <c r="D40" s="75" t="s">
        <v>383</v>
      </c>
      <c r="E40" s="54"/>
      <c r="F40" s="3"/>
      <c r="G40" s="3"/>
      <c r="H40"/>
    </row>
    <row r="41" spans="1:13">
      <c r="B41" s="3"/>
      <c r="C41" s="75"/>
      <c r="D41" s="75"/>
      <c r="E41" s="75"/>
      <c r="F41" s="3"/>
      <c r="G41" s="3"/>
      <c r="H41"/>
    </row>
    <row r="42" spans="1:13">
      <c r="A42" s="82" t="s">
        <v>41</v>
      </c>
      <c r="B42" s="9">
        <v>5</v>
      </c>
      <c r="C42" s="5"/>
      <c r="D42" s="75" t="s">
        <v>10</v>
      </c>
      <c r="E42" s="75"/>
      <c r="F42" s="3"/>
      <c r="G42" s="3"/>
      <c r="H42"/>
      <c r="L42" s="2">
        <v>5</v>
      </c>
      <c r="M42" s="2"/>
    </row>
    <row r="43" spans="1:13">
      <c r="A43" s="78" t="s">
        <v>391</v>
      </c>
      <c r="B43" s="3">
        <f>B42*0.25</f>
        <v>1.25</v>
      </c>
      <c r="C43" s="75"/>
      <c r="D43" s="75" t="s">
        <v>8</v>
      </c>
      <c r="E43" s="54">
        <f>QUARTILE(L4:L15,1)</f>
        <v>-0.11352646374755096</v>
      </c>
      <c r="F43" s="3"/>
      <c r="G43" s="3"/>
      <c r="H43"/>
    </row>
    <row r="44" spans="1:13">
      <c r="A44" s="78" t="s">
        <v>390</v>
      </c>
      <c r="B44" s="3">
        <f>B42*0.5</f>
        <v>2.5</v>
      </c>
      <c r="C44" s="75"/>
      <c r="D44" s="75" t="s">
        <v>5</v>
      </c>
      <c r="E44" s="54">
        <f>QUARTILE(L4:L15,2)</f>
        <v>6.3938129853041759E-2</v>
      </c>
      <c r="F44" s="3"/>
      <c r="G44" s="3"/>
      <c r="H44"/>
    </row>
    <row r="45" spans="1:13">
      <c r="A45" s="78" t="s">
        <v>389</v>
      </c>
      <c r="B45" s="3">
        <f>B42*0.75</f>
        <v>3.75</v>
      </c>
      <c r="C45" s="75"/>
      <c r="D45" s="75" t="s">
        <v>2</v>
      </c>
      <c r="E45" s="54">
        <f>QUARTILE(L4:L15,3)</f>
        <v>1.1308292146575016</v>
      </c>
      <c r="F45" s="3"/>
      <c r="G45" s="3"/>
      <c r="H45"/>
    </row>
    <row r="46" spans="1:13">
      <c r="A46" s="78" t="s">
        <v>388</v>
      </c>
      <c r="B46" s="3">
        <f>B42*1</f>
        <v>5</v>
      </c>
      <c r="C46" s="75"/>
      <c r="D46" s="75" t="s">
        <v>383</v>
      </c>
      <c r="E46" s="75"/>
      <c r="F46" s="3"/>
      <c r="G46" s="3"/>
      <c r="H46"/>
    </row>
    <row r="47" spans="1:13">
      <c r="B47" s="3"/>
      <c r="C47" s="75"/>
      <c r="D47" s="75"/>
      <c r="E47" s="75"/>
      <c r="F47" s="3"/>
      <c r="G47" s="3"/>
      <c r="H47"/>
    </row>
    <row r="48" spans="1:13">
      <c r="A48" s="79" t="s">
        <v>36</v>
      </c>
      <c r="B48" s="9">
        <v>4.5</v>
      </c>
      <c r="C48" s="5"/>
      <c r="D48" s="75" t="s">
        <v>10</v>
      </c>
      <c r="E48" s="5"/>
      <c r="F48" s="5"/>
      <c r="G48" s="5"/>
      <c r="H48" s="7">
        <f>L48*0.1</f>
        <v>0.5</v>
      </c>
      <c r="I48" s="7"/>
      <c r="J48" s="7"/>
      <c r="K48" s="7"/>
      <c r="L48" s="5">
        <v>5</v>
      </c>
      <c r="M48" s="5"/>
    </row>
    <row r="49" spans="1:13">
      <c r="A49" s="78" t="s">
        <v>387</v>
      </c>
      <c r="B49" s="3">
        <v>4.5</v>
      </c>
      <c r="C49" s="75"/>
      <c r="D49" s="75" t="s">
        <v>8</v>
      </c>
      <c r="E49" s="81">
        <f>QUARTILE(N4:N15,1)</f>
        <v>-109.3475</v>
      </c>
      <c r="F49" s="3"/>
      <c r="G49" s="3"/>
      <c r="H49" t="s">
        <v>365</v>
      </c>
      <c r="J49" s="80">
        <v>0.5</v>
      </c>
      <c r="K49" s="75"/>
      <c r="L49" s="75"/>
    </row>
    <row r="50" spans="1:13">
      <c r="A50" s="78" t="s">
        <v>386</v>
      </c>
      <c r="B50" s="3">
        <v>3.375</v>
      </c>
      <c r="C50" s="75"/>
      <c r="D50" s="75" t="s">
        <v>5</v>
      </c>
      <c r="E50" s="81">
        <f>QUARTILE(N4:N15,2)</f>
        <v>16.84</v>
      </c>
      <c r="F50" s="3"/>
      <c r="G50" s="3"/>
      <c r="H50" t="s">
        <v>363</v>
      </c>
      <c r="J50" s="80">
        <v>0</v>
      </c>
      <c r="K50" s="75"/>
      <c r="L50" s="75"/>
    </row>
    <row r="51" spans="1:13">
      <c r="A51" s="78" t="s">
        <v>385</v>
      </c>
      <c r="B51" s="3">
        <v>2.25</v>
      </c>
      <c r="C51" s="75"/>
      <c r="D51" s="75" t="s">
        <v>2</v>
      </c>
      <c r="E51" s="75">
        <f>QUARTILE(N4:N15,3)</f>
        <v>32.450000000000003</v>
      </c>
      <c r="F51" s="3"/>
      <c r="G51" s="3"/>
      <c r="H51"/>
    </row>
    <row r="52" spans="1:13">
      <c r="A52" s="78" t="s">
        <v>384</v>
      </c>
      <c r="B52" s="3">
        <v>1.125</v>
      </c>
      <c r="C52" s="75"/>
      <c r="D52" s="75" t="s">
        <v>383</v>
      </c>
      <c r="E52" s="75"/>
      <c r="F52" s="3"/>
      <c r="G52" s="3"/>
      <c r="H52"/>
    </row>
    <row r="53" spans="1:13">
      <c r="B53" s="3"/>
      <c r="C53" s="75"/>
      <c r="D53" s="75"/>
      <c r="E53" s="75"/>
      <c r="F53" s="3"/>
      <c r="G53" s="3"/>
      <c r="H53"/>
    </row>
    <row r="54" spans="1:13">
      <c r="A54" s="79" t="s">
        <v>31</v>
      </c>
      <c r="B54" s="9">
        <v>9</v>
      </c>
      <c r="C54" s="5"/>
      <c r="D54" s="75"/>
      <c r="E54" s="5"/>
      <c r="F54" s="5"/>
      <c r="G54" s="5"/>
      <c r="H54" s="7">
        <f>L54*0.1</f>
        <v>1</v>
      </c>
      <c r="I54" s="7"/>
      <c r="J54" s="7"/>
      <c r="K54" s="7"/>
      <c r="L54" s="5">
        <v>10</v>
      </c>
      <c r="M54" s="5"/>
    </row>
    <row r="55" spans="1:13">
      <c r="A55" s="78" t="s">
        <v>382</v>
      </c>
      <c r="B55" s="3">
        <f>B54*0.25</f>
        <v>2.25</v>
      </c>
      <c r="C55" s="75"/>
      <c r="D55" s="75"/>
      <c r="E55" s="54"/>
      <c r="F55" s="3"/>
      <c r="G55" s="3"/>
      <c r="H55" t="s">
        <v>365</v>
      </c>
      <c r="J55" s="78">
        <v>1</v>
      </c>
    </row>
    <row r="56" spans="1:13">
      <c r="A56" s="78" t="s">
        <v>381</v>
      </c>
      <c r="B56" s="3">
        <f>B54*0.5</f>
        <v>4.5</v>
      </c>
      <c r="C56" s="75"/>
      <c r="D56" s="75"/>
      <c r="E56" s="54"/>
      <c r="F56" s="3"/>
      <c r="G56" s="3"/>
      <c r="H56" t="s">
        <v>363</v>
      </c>
      <c r="J56" s="78">
        <v>0</v>
      </c>
    </row>
    <row r="57" spans="1:13">
      <c r="A57" t="s">
        <v>380</v>
      </c>
      <c r="B57" s="3">
        <f>B54*0.75</f>
        <v>6.75</v>
      </c>
      <c r="C57" s="75"/>
      <c r="D57" s="75"/>
      <c r="E57" s="54"/>
      <c r="F57" s="3"/>
      <c r="G57" s="3"/>
      <c r="H57"/>
    </row>
    <row r="58" spans="1:13">
      <c r="A58" t="s">
        <v>379</v>
      </c>
      <c r="B58" s="3">
        <f>B54*1</f>
        <v>9</v>
      </c>
      <c r="C58" s="75"/>
      <c r="D58" s="75"/>
      <c r="E58" s="75"/>
      <c r="F58" s="3"/>
      <c r="G58" s="3"/>
      <c r="H58"/>
    </row>
    <row r="59" spans="1:13">
      <c r="B59" s="3"/>
      <c r="C59" s="75"/>
      <c r="D59" s="75"/>
      <c r="E59" s="75"/>
      <c r="F59" s="3"/>
      <c r="G59" s="3"/>
      <c r="H59"/>
    </row>
    <row r="60" spans="1:13" ht="18.75" customHeight="1">
      <c r="A60" s="79" t="s">
        <v>26</v>
      </c>
      <c r="B60" s="9">
        <v>13.5</v>
      </c>
      <c r="C60" s="5"/>
      <c r="D60" s="75"/>
      <c r="E60" s="5"/>
      <c r="F60" s="5"/>
      <c r="G60" s="5"/>
      <c r="H60" s="7">
        <f>L60*0.1</f>
        <v>1.5</v>
      </c>
      <c r="I60" s="7"/>
      <c r="J60" s="7"/>
      <c r="K60" s="7"/>
      <c r="L60" s="5">
        <v>15</v>
      </c>
      <c r="M60" s="5"/>
    </row>
    <row r="61" spans="1:13">
      <c r="A61" s="78" t="s">
        <v>378</v>
      </c>
      <c r="B61" s="3">
        <f>B60*0.25</f>
        <v>3.375</v>
      </c>
      <c r="C61" s="75"/>
      <c r="D61" s="75"/>
      <c r="E61" s="54"/>
      <c r="F61" s="3"/>
      <c r="G61" s="3"/>
      <c r="H61" t="s">
        <v>365</v>
      </c>
      <c r="J61" s="78">
        <v>1.5</v>
      </c>
    </row>
    <row r="62" spans="1:13">
      <c r="A62" s="78" t="s">
        <v>377</v>
      </c>
      <c r="B62" s="3">
        <f>B60*0.5</f>
        <v>6.75</v>
      </c>
      <c r="C62" s="75"/>
      <c r="D62" s="75"/>
      <c r="E62" s="54"/>
      <c r="F62" s="3"/>
      <c r="G62" s="3"/>
      <c r="H62" t="s">
        <v>363</v>
      </c>
      <c r="J62" s="78">
        <v>0</v>
      </c>
    </row>
    <row r="63" spans="1:13">
      <c r="A63" t="s">
        <v>376</v>
      </c>
      <c r="B63" s="3">
        <f>B60*0.75</f>
        <v>10.125</v>
      </c>
      <c r="C63" s="75"/>
      <c r="D63" s="75"/>
      <c r="E63" s="54"/>
      <c r="F63" s="3"/>
      <c r="G63" s="3"/>
      <c r="H63"/>
    </row>
    <row r="64" spans="1:13">
      <c r="A64" t="s">
        <v>375</v>
      </c>
      <c r="B64" s="3">
        <f>B60*1</f>
        <v>13.5</v>
      </c>
      <c r="C64" s="75"/>
      <c r="D64" s="75"/>
      <c r="E64" s="75"/>
      <c r="F64" s="3"/>
      <c r="G64" s="3"/>
      <c r="H64"/>
    </row>
    <row r="65" spans="1:13">
      <c r="B65" s="3"/>
      <c r="C65" s="75"/>
      <c r="D65" s="75"/>
      <c r="E65" s="75"/>
      <c r="F65" s="3"/>
      <c r="G65" s="3"/>
      <c r="H65"/>
    </row>
    <row r="66" spans="1:13">
      <c r="A66" s="79" t="s">
        <v>21</v>
      </c>
      <c r="B66" s="9">
        <v>13.5</v>
      </c>
      <c r="C66" s="5"/>
      <c r="D66" s="75"/>
      <c r="E66" s="5"/>
      <c r="F66" s="5"/>
      <c r="G66" s="5"/>
      <c r="H66" s="7">
        <f>L66*0.1</f>
        <v>1.5</v>
      </c>
      <c r="I66" s="7"/>
      <c r="J66" s="7"/>
      <c r="K66" s="7"/>
      <c r="L66" s="5">
        <v>15</v>
      </c>
      <c r="M66" s="5"/>
    </row>
    <row r="67" spans="1:13">
      <c r="A67" s="78" t="s">
        <v>374</v>
      </c>
      <c r="B67" s="3">
        <f>B66*0.25</f>
        <v>3.375</v>
      </c>
      <c r="C67" s="75"/>
      <c r="D67" s="75"/>
      <c r="E67" s="54"/>
      <c r="F67" s="3"/>
      <c r="G67" s="3"/>
      <c r="H67" t="s">
        <v>365</v>
      </c>
      <c r="J67" s="78">
        <v>1.5</v>
      </c>
    </row>
    <row r="68" spans="1:13">
      <c r="A68" t="s">
        <v>373</v>
      </c>
      <c r="B68" s="3">
        <f>B66*0.5</f>
        <v>6.75</v>
      </c>
      <c r="C68" s="75"/>
      <c r="D68" s="75"/>
      <c r="E68" s="54"/>
      <c r="F68" s="3"/>
      <c r="G68" s="3"/>
      <c r="H68" t="s">
        <v>363</v>
      </c>
      <c r="J68" s="78">
        <v>0</v>
      </c>
    </row>
    <row r="69" spans="1:13">
      <c r="A69" t="s">
        <v>372</v>
      </c>
      <c r="B69" s="3">
        <f>B66*0.75</f>
        <v>10.125</v>
      </c>
      <c r="C69" s="75"/>
      <c r="D69" s="75"/>
      <c r="E69" s="54"/>
      <c r="F69" s="3"/>
      <c r="G69" s="3"/>
      <c r="H69"/>
    </row>
    <row r="70" spans="1:13">
      <c r="A70" t="s">
        <v>371</v>
      </c>
      <c r="B70" s="3">
        <f>B66*1</f>
        <v>13.5</v>
      </c>
      <c r="C70" s="75"/>
      <c r="D70" s="75"/>
      <c r="E70" s="75"/>
      <c r="F70" s="3"/>
      <c r="G70" s="3"/>
      <c r="H70"/>
    </row>
    <row r="71" spans="1:13">
      <c r="B71" s="3"/>
      <c r="C71" s="75"/>
      <c r="D71" s="75"/>
      <c r="E71" s="75"/>
      <c r="F71" s="3"/>
      <c r="G71" s="3"/>
      <c r="H71"/>
    </row>
    <row r="72" spans="1:13">
      <c r="A72" s="79" t="s">
        <v>16</v>
      </c>
      <c r="B72" s="9">
        <v>4.5</v>
      </c>
      <c r="C72" s="5"/>
      <c r="D72" s="75" t="s">
        <v>10</v>
      </c>
      <c r="E72" s="5"/>
      <c r="F72" s="5"/>
      <c r="G72" s="5"/>
      <c r="H72" s="7">
        <f>L72*0.1</f>
        <v>0.5</v>
      </c>
      <c r="I72" s="7"/>
      <c r="J72" s="7"/>
      <c r="K72" s="7"/>
      <c r="L72" s="5">
        <v>5</v>
      </c>
    </row>
    <row r="73" spans="1:13">
      <c r="A73" s="78" t="s">
        <v>370</v>
      </c>
      <c r="B73" s="3">
        <f>B72*0.25</f>
        <v>1.125</v>
      </c>
      <c r="C73" s="75"/>
      <c r="D73" s="75" t="s">
        <v>8</v>
      </c>
      <c r="E73" s="75">
        <f>QUARTILE(AD4:AD15,1)</f>
        <v>1.0400389997468555</v>
      </c>
      <c r="F73" s="3"/>
      <c r="G73" s="3"/>
      <c r="H73" t="s">
        <v>365</v>
      </c>
      <c r="J73" s="78">
        <v>0.5</v>
      </c>
    </row>
    <row r="74" spans="1:13">
      <c r="A74" s="78" t="s">
        <v>369</v>
      </c>
      <c r="B74" s="3">
        <f>B72*0.5</f>
        <v>2.25</v>
      </c>
      <c r="C74" s="75"/>
      <c r="D74" s="75" t="s">
        <v>5</v>
      </c>
      <c r="E74" s="75">
        <f>QUARTILE(AD4:AD15,2)</f>
        <v>1.1087363252206393</v>
      </c>
      <c r="F74" s="3"/>
      <c r="G74" s="3"/>
      <c r="H74" t="s">
        <v>363</v>
      </c>
      <c r="J74" s="78">
        <v>0</v>
      </c>
    </row>
    <row r="75" spans="1:13">
      <c r="A75" s="78" t="s">
        <v>368</v>
      </c>
      <c r="B75" s="3">
        <f>B72*0.75</f>
        <v>3.375</v>
      </c>
      <c r="C75" s="75"/>
      <c r="D75" s="75" t="s">
        <v>2</v>
      </c>
      <c r="E75" s="75">
        <f>QUARTILE(AD4:AD15,3)</f>
        <v>1.2462400288535851</v>
      </c>
      <c r="F75" s="3"/>
      <c r="G75" s="3"/>
      <c r="H75"/>
    </row>
    <row r="76" spans="1:13">
      <c r="A76" s="78" t="s">
        <v>367</v>
      </c>
      <c r="B76" s="3">
        <f>B72*1</f>
        <v>4.5</v>
      </c>
      <c r="C76" s="75"/>
      <c r="D76" s="75"/>
      <c r="E76" s="75"/>
      <c r="F76" s="3"/>
      <c r="G76" s="3"/>
      <c r="H76"/>
    </row>
    <row r="77" spans="1:13">
      <c r="B77" s="3"/>
      <c r="C77" s="75"/>
      <c r="D77" s="75"/>
      <c r="E77" s="75"/>
      <c r="F77" s="3"/>
      <c r="G77" s="3"/>
      <c r="H77"/>
    </row>
    <row r="78" spans="1:13">
      <c r="A78" s="79" t="s">
        <v>11</v>
      </c>
      <c r="B78" s="9">
        <v>9</v>
      </c>
      <c r="C78" s="5"/>
      <c r="D78" s="75" t="s">
        <v>10</v>
      </c>
      <c r="E78" s="5"/>
      <c r="F78" s="5"/>
      <c r="G78" s="5"/>
      <c r="H78" s="5">
        <f>L78*0.1</f>
        <v>1</v>
      </c>
      <c r="I78" s="5"/>
      <c r="J78" s="5"/>
      <c r="K78" s="5"/>
      <c r="L78" s="5">
        <v>10</v>
      </c>
    </row>
    <row r="79" spans="1:13">
      <c r="A79" s="78" t="s">
        <v>366</v>
      </c>
      <c r="B79" s="3">
        <f>B78*0.25</f>
        <v>2.25</v>
      </c>
      <c r="C79" s="75"/>
      <c r="D79" s="75" t="s">
        <v>8</v>
      </c>
      <c r="E79" s="54">
        <f>QUARTILE(AH4:AH15,1)</f>
        <v>7.4651548397169185E-2</v>
      </c>
      <c r="F79" s="3"/>
      <c r="G79" s="3"/>
      <c r="H79" t="s">
        <v>365</v>
      </c>
      <c r="J79" s="78">
        <v>1</v>
      </c>
    </row>
    <row r="80" spans="1:13">
      <c r="A80" s="78" t="s">
        <v>364</v>
      </c>
      <c r="B80" s="3">
        <f>B78*0.5</f>
        <v>4.5</v>
      </c>
      <c r="C80" s="75"/>
      <c r="D80" s="75" t="s">
        <v>5</v>
      </c>
      <c r="E80" s="54">
        <f>QUARTILE(AH4:AH15,2)</f>
        <v>0.17298439651942282</v>
      </c>
      <c r="F80" s="3"/>
      <c r="G80" s="3"/>
      <c r="H80" t="s">
        <v>363</v>
      </c>
      <c r="J80" s="78">
        <v>0</v>
      </c>
    </row>
    <row r="81" spans="1:12">
      <c r="A81" s="78" t="s">
        <v>362</v>
      </c>
      <c r="B81" s="3">
        <f>B78*0.75</f>
        <v>6.75</v>
      </c>
      <c r="C81" s="75"/>
      <c r="D81" s="75" t="s">
        <v>2</v>
      </c>
      <c r="E81" s="54">
        <f>QUARTILE(AH4:AH15,3)</f>
        <v>0.42390074008912526</v>
      </c>
      <c r="F81" s="3"/>
      <c r="G81" s="3"/>
      <c r="H81"/>
    </row>
    <row r="82" spans="1:12">
      <c r="A82" s="78" t="s">
        <v>361</v>
      </c>
      <c r="B82" s="3">
        <f>B78*1</f>
        <v>9</v>
      </c>
      <c r="C82" s="75"/>
      <c r="D82" s="75"/>
      <c r="E82" s="75"/>
      <c r="F82" s="3"/>
      <c r="G82" s="3"/>
      <c r="H82"/>
    </row>
    <row r="85" spans="1:12">
      <c r="B85" s="504" t="s">
        <v>0</v>
      </c>
      <c r="C85" s="504"/>
      <c r="D85" s="504"/>
      <c r="E85" s="504"/>
      <c r="F85" s="504"/>
      <c r="G85" s="504"/>
      <c r="H85" s="504"/>
      <c r="I85" s="504"/>
      <c r="J85" s="504"/>
      <c r="K85" s="2"/>
      <c r="L85" s="9">
        <f>SUM(L23:L82)</f>
        <v>100</v>
      </c>
    </row>
  </sheetData>
  <mergeCells count="2">
    <mergeCell ref="A1:AL2"/>
    <mergeCell ref="B85:J8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O29"/>
  <sheetViews>
    <sheetView topLeftCell="A13" workbookViewId="0">
      <selection activeCell="I26" sqref="I26"/>
    </sheetView>
  </sheetViews>
  <sheetFormatPr defaultRowHeight="15"/>
  <cols>
    <col min="3" max="3" width="33.42578125" bestFit="1" customWidth="1"/>
    <col min="4" max="4" width="17.28515625" customWidth="1"/>
    <col min="5" max="5" width="27.5703125" customWidth="1"/>
    <col min="6" max="6" width="22.140625" customWidth="1"/>
    <col min="11" max="11" width="33.42578125" bestFit="1" customWidth="1"/>
  </cols>
  <sheetData>
    <row r="1" spans="2:15" ht="15.75" thickBot="1"/>
    <row r="2" spans="2:15" ht="15.75" thickBot="1">
      <c r="B2" s="124"/>
      <c r="C2" s="514">
        <v>2012</v>
      </c>
      <c r="D2" s="515"/>
      <c r="E2" s="145"/>
      <c r="F2" s="513"/>
      <c r="G2" s="513"/>
      <c r="K2" s="144"/>
      <c r="L2" s="143">
        <v>2012</v>
      </c>
      <c r="M2" s="143" t="s">
        <v>81</v>
      </c>
      <c r="N2" s="143">
        <v>2013</v>
      </c>
      <c r="O2" s="122" t="s">
        <v>81</v>
      </c>
    </row>
    <row r="3" spans="2:15">
      <c r="B3" s="142">
        <v>1</v>
      </c>
      <c r="C3" s="123" t="s">
        <v>404</v>
      </c>
      <c r="D3" s="141">
        <v>86</v>
      </c>
      <c r="E3" s="135"/>
      <c r="F3" s="134"/>
      <c r="G3" s="133"/>
      <c r="K3" s="105" t="s">
        <v>415</v>
      </c>
      <c r="L3" s="43">
        <v>74.625</v>
      </c>
      <c r="M3" s="40">
        <v>3</v>
      </c>
      <c r="N3" s="43">
        <v>76.625</v>
      </c>
      <c r="O3" s="138">
        <v>1</v>
      </c>
    </row>
    <row r="4" spans="2:15">
      <c r="B4" s="140">
        <v>2</v>
      </c>
      <c r="C4" s="121" t="s">
        <v>414</v>
      </c>
      <c r="D4" s="139">
        <v>74.75</v>
      </c>
      <c r="E4" s="135"/>
      <c r="F4" s="134"/>
      <c r="G4" s="133"/>
      <c r="K4" s="105" t="s">
        <v>414</v>
      </c>
      <c r="L4" s="43">
        <v>74.75</v>
      </c>
      <c r="M4" s="40">
        <v>2</v>
      </c>
      <c r="N4" s="43">
        <v>64.5</v>
      </c>
      <c r="O4" s="138">
        <v>6</v>
      </c>
    </row>
    <row r="5" spans="2:15">
      <c r="B5" s="140">
        <v>3</v>
      </c>
      <c r="C5" s="121" t="s">
        <v>415</v>
      </c>
      <c r="D5" s="139">
        <v>74.625</v>
      </c>
      <c r="E5" s="135"/>
      <c r="F5" s="134"/>
      <c r="G5" s="133"/>
      <c r="K5" s="105" t="s">
        <v>413</v>
      </c>
      <c r="L5" s="43">
        <v>29.75</v>
      </c>
      <c r="M5" s="40">
        <v>12</v>
      </c>
      <c r="N5" s="43">
        <v>26.875</v>
      </c>
      <c r="O5" s="138">
        <v>12</v>
      </c>
    </row>
    <row r="6" spans="2:15">
      <c r="B6" s="140">
        <v>4</v>
      </c>
      <c r="C6" s="121" t="s">
        <v>409</v>
      </c>
      <c r="D6" s="139">
        <v>71.125</v>
      </c>
      <c r="E6" s="135"/>
      <c r="F6" s="134"/>
      <c r="G6" s="133"/>
      <c r="K6" s="105" t="s">
        <v>412</v>
      </c>
      <c r="L6" s="43">
        <v>63</v>
      </c>
      <c r="M6" s="40">
        <v>9</v>
      </c>
      <c r="N6" s="43">
        <v>62</v>
      </c>
      <c r="O6" s="138">
        <v>7</v>
      </c>
    </row>
    <row r="7" spans="2:15">
      <c r="B7" s="140">
        <v>5</v>
      </c>
      <c r="C7" s="121" t="s">
        <v>406</v>
      </c>
      <c r="D7" s="139">
        <v>70.5</v>
      </c>
      <c r="E7" s="135"/>
      <c r="F7" s="134"/>
      <c r="G7" s="133"/>
      <c r="K7" s="105" t="s">
        <v>411</v>
      </c>
      <c r="L7" s="43">
        <v>64.75</v>
      </c>
      <c r="M7" s="40">
        <v>8</v>
      </c>
      <c r="N7" s="43">
        <v>74.875</v>
      </c>
      <c r="O7" s="138">
        <v>3</v>
      </c>
    </row>
    <row r="8" spans="2:15">
      <c r="B8" s="140">
        <v>6</v>
      </c>
      <c r="C8" s="121" t="s">
        <v>408</v>
      </c>
      <c r="D8" s="139">
        <v>70.125</v>
      </c>
      <c r="E8" s="135"/>
      <c r="F8" s="134"/>
      <c r="G8" s="133"/>
      <c r="K8" s="105" t="s">
        <v>410</v>
      </c>
      <c r="L8" s="43">
        <v>52.5</v>
      </c>
      <c r="M8" s="40">
        <v>10</v>
      </c>
      <c r="N8" s="43">
        <v>61</v>
      </c>
      <c r="O8" s="138">
        <v>9</v>
      </c>
    </row>
    <row r="9" spans="2:15">
      <c r="B9" s="140">
        <v>7</v>
      </c>
      <c r="C9" s="121" t="s">
        <v>407</v>
      </c>
      <c r="D9" s="139">
        <v>65.875</v>
      </c>
      <c r="E9" s="135"/>
      <c r="F9" s="134"/>
      <c r="G9" s="133"/>
      <c r="K9" s="105" t="s">
        <v>409</v>
      </c>
      <c r="L9" s="43">
        <v>71.125</v>
      </c>
      <c r="M9" s="40">
        <v>4</v>
      </c>
      <c r="N9" s="43">
        <v>67.625</v>
      </c>
      <c r="O9" s="138">
        <v>4</v>
      </c>
    </row>
    <row r="10" spans="2:15">
      <c r="B10" s="140">
        <v>8</v>
      </c>
      <c r="C10" s="121" t="s">
        <v>411</v>
      </c>
      <c r="D10" s="139">
        <v>64.75</v>
      </c>
      <c r="E10" s="135"/>
      <c r="F10" s="134"/>
      <c r="G10" s="133"/>
      <c r="K10" s="105" t="s">
        <v>408</v>
      </c>
      <c r="L10" s="43">
        <v>70.125</v>
      </c>
      <c r="M10" s="40">
        <v>6</v>
      </c>
      <c r="N10" s="43">
        <v>61.875</v>
      </c>
      <c r="O10" s="138">
        <v>8</v>
      </c>
    </row>
    <row r="11" spans="2:15">
      <c r="B11" s="140">
        <v>9</v>
      </c>
      <c r="C11" s="121" t="s">
        <v>412</v>
      </c>
      <c r="D11" s="139">
        <v>63</v>
      </c>
      <c r="E11" s="135"/>
      <c r="F11" s="134"/>
      <c r="G11" s="133"/>
      <c r="K11" s="105" t="s">
        <v>407</v>
      </c>
      <c r="L11" s="43">
        <v>65.875</v>
      </c>
      <c r="M11" s="40">
        <v>7</v>
      </c>
      <c r="N11" s="43">
        <v>65.25</v>
      </c>
      <c r="O11" s="138">
        <v>5</v>
      </c>
    </row>
    <row r="12" spans="2:15">
      <c r="B12" s="140">
        <v>10</v>
      </c>
      <c r="C12" s="121" t="s">
        <v>410</v>
      </c>
      <c r="D12" s="139">
        <v>52.5</v>
      </c>
      <c r="E12" s="135"/>
      <c r="F12" s="134"/>
      <c r="G12" s="133"/>
      <c r="K12" s="105" t="s">
        <v>406</v>
      </c>
      <c r="L12" s="43">
        <v>70.5</v>
      </c>
      <c r="M12" s="40">
        <v>5</v>
      </c>
      <c r="N12" s="43">
        <v>52.75</v>
      </c>
      <c r="O12" s="138">
        <v>10</v>
      </c>
    </row>
    <row r="13" spans="2:15">
      <c r="B13" s="140">
        <v>11</v>
      </c>
      <c r="C13" s="121" t="s">
        <v>405</v>
      </c>
      <c r="D13" s="139">
        <v>50.375</v>
      </c>
      <c r="E13" s="135"/>
      <c r="F13" s="134"/>
      <c r="G13" s="133"/>
      <c r="K13" s="105" t="s">
        <v>405</v>
      </c>
      <c r="L13" s="43">
        <v>50.375</v>
      </c>
      <c r="M13" s="40">
        <v>11</v>
      </c>
      <c r="N13" s="43">
        <v>32.75</v>
      </c>
      <c r="O13" s="138">
        <v>11</v>
      </c>
    </row>
    <row r="14" spans="2:15" ht="15.75" thickBot="1">
      <c r="B14" s="137">
        <v>12</v>
      </c>
      <c r="C14" s="120" t="s">
        <v>413</v>
      </c>
      <c r="D14" s="136">
        <v>29.75</v>
      </c>
      <c r="E14" s="135"/>
      <c r="F14" s="134"/>
      <c r="G14" s="133"/>
      <c r="K14" s="96" t="s">
        <v>404</v>
      </c>
      <c r="L14" s="132">
        <v>86</v>
      </c>
      <c r="M14" s="131">
        <v>1</v>
      </c>
      <c r="N14" s="95">
        <v>75.875</v>
      </c>
      <c r="O14" s="130">
        <v>2</v>
      </c>
    </row>
    <row r="15" spans="2:15" ht="15.75" thickBot="1"/>
    <row r="16" spans="2:15" ht="15.75" thickBot="1">
      <c r="B16" s="129"/>
      <c r="C16" s="128"/>
      <c r="D16" s="127"/>
      <c r="E16" s="126" t="s">
        <v>443</v>
      </c>
      <c r="F16" s="125"/>
      <c r="G16" s="30"/>
    </row>
    <row r="17" spans="2:6" ht="15.75" thickBot="1">
      <c r="B17" s="462"/>
      <c r="C17" s="463">
        <v>2013</v>
      </c>
      <c r="D17" s="460" t="s">
        <v>93</v>
      </c>
      <c r="E17" s="464" t="s">
        <v>920</v>
      </c>
      <c r="F17" s="465" t="s">
        <v>917</v>
      </c>
    </row>
    <row r="18" spans="2:6">
      <c r="B18" s="466">
        <v>1</v>
      </c>
      <c r="C18" s="467" t="s">
        <v>415</v>
      </c>
      <c r="D18" s="468">
        <v>76.625</v>
      </c>
      <c r="E18" s="476">
        <v>2</v>
      </c>
      <c r="F18" s="479">
        <f>N3-L3</f>
        <v>2</v>
      </c>
    </row>
    <row r="19" spans="2:6">
      <c r="B19" s="469">
        <v>2</v>
      </c>
      <c r="C19" s="470" t="s">
        <v>404</v>
      </c>
      <c r="D19" s="459">
        <v>75.875</v>
      </c>
      <c r="E19" s="478">
        <v>-1</v>
      </c>
      <c r="F19" s="480">
        <f>N14-L14</f>
        <v>-10.125</v>
      </c>
    </row>
    <row r="20" spans="2:6">
      <c r="B20" s="469">
        <v>3</v>
      </c>
      <c r="C20" s="470" t="s">
        <v>411</v>
      </c>
      <c r="D20" s="459">
        <v>74.875</v>
      </c>
      <c r="E20" s="477">
        <v>5</v>
      </c>
      <c r="F20" s="480">
        <f>N7-L7</f>
        <v>10.125</v>
      </c>
    </row>
    <row r="21" spans="2:6">
      <c r="B21" s="471">
        <v>4</v>
      </c>
      <c r="C21" s="470" t="s">
        <v>409</v>
      </c>
      <c r="D21" s="459">
        <v>67.625</v>
      </c>
      <c r="E21" s="114">
        <v>0</v>
      </c>
      <c r="F21" s="480">
        <f>N9-L9</f>
        <v>-3.5</v>
      </c>
    </row>
    <row r="22" spans="2:6">
      <c r="B22" s="471">
        <v>5</v>
      </c>
      <c r="C22" s="470" t="s">
        <v>407</v>
      </c>
      <c r="D22" s="459">
        <v>65.25</v>
      </c>
      <c r="E22" s="477">
        <v>2</v>
      </c>
      <c r="F22" s="480">
        <f>N11-L11</f>
        <v>-0.625</v>
      </c>
    </row>
    <row r="23" spans="2:6">
      <c r="B23" s="471">
        <v>6</v>
      </c>
      <c r="C23" s="470" t="s">
        <v>414</v>
      </c>
      <c r="D23" s="459">
        <v>64.5</v>
      </c>
      <c r="E23" s="478">
        <v>-4</v>
      </c>
      <c r="F23" s="480">
        <f>N4-L4</f>
        <v>-10.25</v>
      </c>
    </row>
    <row r="24" spans="2:6">
      <c r="B24" s="471">
        <v>7</v>
      </c>
      <c r="C24" s="470" t="s">
        <v>412</v>
      </c>
      <c r="D24" s="459">
        <v>62</v>
      </c>
      <c r="E24" s="477">
        <v>2</v>
      </c>
      <c r="F24" s="480">
        <f>N6-L6</f>
        <v>-1</v>
      </c>
    </row>
    <row r="25" spans="2:6">
      <c r="B25" s="471">
        <v>8</v>
      </c>
      <c r="C25" s="470" t="s">
        <v>408</v>
      </c>
      <c r="D25" s="459">
        <v>61.875</v>
      </c>
      <c r="E25" s="478">
        <v>-2</v>
      </c>
      <c r="F25" s="480">
        <f>N10-L10</f>
        <v>-8.25</v>
      </c>
    </row>
    <row r="26" spans="2:6">
      <c r="B26" s="471">
        <v>9</v>
      </c>
      <c r="C26" s="470" t="s">
        <v>410</v>
      </c>
      <c r="D26" s="459">
        <v>61</v>
      </c>
      <c r="E26" s="477">
        <v>1</v>
      </c>
      <c r="F26" s="480">
        <f>N8-L8</f>
        <v>8.5</v>
      </c>
    </row>
    <row r="27" spans="2:6">
      <c r="B27" s="471">
        <v>10</v>
      </c>
      <c r="C27" s="470" t="s">
        <v>406</v>
      </c>
      <c r="D27" s="459">
        <v>52.75</v>
      </c>
      <c r="E27" s="478">
        <v>-5</v>
      </c>
      <c r="F27" s="480">
        <f>N12-L12</f>
        <v>-17.75</v>
      </c>
    </row>
    <row r="28" spans="2:6">
      <c r="B28" s="471">
        <v>11</v>
      </c>
      <c r="C28" s="470" t="s">
        <v>405</v>
      </c>
      <c r="D28" s="459">
        <v>32.75</v>
      </c>
      <c r="E28" s="114">
        <v>0</v>
      </c>
      <c r="F28" s="480">
        <f>N13-L13</f>
        <v>-17.625</v>
      </c>
    </row>
    <row r="29" spans="2:6" ht="15.75" thickBot="1">
      <c r="B29" s="472">
        <v>12</v>
      </c>
      <c r="C29" s="473" t="s">
        <v>413</v>
      </c>
      <c r="D29" s="474">
        <v>26.875</v>
      </c>
      <c r="E29" s="475">
        <v>0</v>
      </c>
      <c r="F29" s="481">
        <f>N5-L5</f>
        <v>-2.875</v>
      </c>
    </row>
  </sheetData>
  <mergeCells count="2">
    <mergeCell ref="F2:G2"/>
    <mergeCell ref="C2:D2"/>
  </mergeCells>
  <pageMargins left="0.7" right="0.7" top="0.75" bottom="0.75" header="0.3" footer="0.3"/>
  <pageSetup paperSize="9" orientation="portrait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L86"/>
  <sheetViews>
    <sheetView workbookViewId="0">
      <selection activeCell="A4" sqref="A4:A20"/>
    </sheetView>
  </sheetViews>
  <sheetFormatPr defaultRowHeight="15"/>
  <cols>
    <col min="1" max="1" width="41.7109375" bestFit="1" customWidth="1"/>
    <col min="4" max="4" width="20" bestFit="1" customWidth="1"/>
    <col min="10" max="10" width="14.85546875" bestFit="1" customWidth="1"/>
    <col min="12" max="12" width="24.7109375" bestFit="1" customWidth="1"/>
    <col min="14" max="14" width="13.7109375" bestFit="1" customWidth="1"/>
    <col min="18" max="18" width="13.5703125" bestFit="1" customWidth="1"/>
    <col min="22" max="22" width="24.140625" bestFit="1" customWidth="1"/>
    <col min="26" max="26" width="13.140625" bestFit="1" customWidth="1"/>
    <col min="30" max="30" width="13.28515625" customWidth="1"/>
    <col min="34" max="34" width="11.140625" bestFit="1" customWidth="1"/>
  </cols>
  <sheetData>
    <row r="1" spans="1:38" ht="15" customHeight="1">
      <c r="A1" s="516" t="s">
        <v>490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17"/>
      <c r="Q1" s="517"/>
      <c r="R1" s="517"/>
      <c r="S1" s="517"/>
      <c r="T1" s="517"/>
      <c r="U1" s="517"/>
      <c r="V1" s="517"/>
      <c r="W1" s="517"/>
      <c r="X1" s="517"/>
      <c r="Y1" s="517"/>
      <c r="Z1" s="517"/>
      <c r="AA1" s="517"/>
      <c r="AB1" s="517"/>
      <c r="AC1" s="517"/>
      <c r="AD1" s="517"/>
      <c r="AE1" s="517"/>
      <c r="AF1" s="517"/>
      <c r="AG1" s="517"/>
      <c r="AH1" s="517"/>
      <c r="AI1" s="517"/>
      <c r="AJ1" s="517"/>
      <c r="AK1" s="517"/>
      <c r="AL1" s="518"/>
    </row>
    <row r="2" spans="1:38" ht="15" customHeight="1">
      <c r="A2" s="519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1"/>
    </row>
    <row r="3" spans="1:38" ht="33.75" customHeight="1">
      <c r="A3" s="114" t="s">
        <v>97</v>
      </c>
      <c r="B3" s="113" t="s">
        <v>96</v>
      </c>
      <c r="C3" s="109" t="s">
        <v>93</v>
      </c>
      <c r="D3" s="109" t="s">
        <v>95</v>
      </c>
      <c r="E3" s="109" t="s">
        <v>93</v>
      </c>
      <c r="F3" s="113" t="s">
        <v>94</v>
      </c>
      <c r="G3" s="109" t="s">
        <v>83</v>
      </c>
      <c r="H3" s="109" t="s">
        <v>84</v>
      </c>
      <c r="I3" s="109" t="s">
        <v>93</v>
      </c>
      <c r="J3" s="112" t="s">
        <v>92</v>
      </c>
      <c r="K3" s="109" t="s">
        <v>83</v>
      </c>
      <c r="L3" s="111" t="s">
        <v>91</v>
      </c>
      <c r="M3" s="109" t="s">
        <v>83</v>
      </c>
      <c r="N3" s="109" t="s">
        <v>90</v>
      </c>
      <c r="O3" s="109" t="s">
        <v>83</v>
      </c>
      <c r="P3" s="109" t="s">
        <v>84</v>
      </c>
      <c r="Q3" s="109" t="s">
        <v>83</v>
      </c>
      <c r="R3" s="110" t="s">
        <v>89</v>
      </c>
      <c r="S3" s="109" t="s">
        <v>83</v>
      </c>
      <c r="T3" s="109" t="s">
        <v>84</v>
      </c>
      <c r="U3" s="109" t="s">
        <v>83</v>
      </c>
      <c r="V3" s="109" t="s">
        <v>88</v>
      </c>
      <c r="W3" s="109" t="s">
        <v>83</v>
      </c>
      <c r="X3" s="109" t="s">
        <v>84</v>
      </c>
      <c r="Y3" s="109" t="s">
        <v>83</v>
      </c>
      <c r="Z3" s="109" t="s">
        <v>87</v>
      </c>
      <c r="AA3" s="109" t="s">
        <v>83</v>
      </c>
      <c r="AB3" s="109" t="s">
        <v>84</v>
      </c>
      <c r="AC3" s="109" t="s">
        <v>83</v>
      </c>
      <c r="AD3" s="110" t="s">
        <v>86</v>
      </c>
      <c r="AE3" s="109" t="s">
        <v>83</v>
      </c>
      <c r="AF3" s="109" t="s">
        <v>84</v>
      </c>
      <c r="AG3" s="109" t="s">
        <v>83</v>
      </c>
      <c r="AH3" s="110" t="s">
        <v>85</v>
      </c>
      <c r="AI3" s="109" t="s">
        <v>83</v>
      </c>
      <c r="AJ3" s="109" t="s">
        <v>84</v>
      </c>
      <c r="AK3" s="109" t="s">
        <v>83</v>
      </c>
      <c r="AL3" s="108" t="s">
        <v>82</v>
      </c>
    </row>
    <row r="4" spans="1:38">
      <c r="A4" s="163" t="s">
        <v>489</v>
      </c>
      <c r="B4" s="43">
        <v>14.9</v>
      </c>
      <c r="C4" s="43">
        <f t="shared" ref="C4:C20" si="0">IF(B4&gt;6.2,$B$29,IF(B4&lt;=-4.8,$B$26,IF(AND(B4&gt;-4.8,B4&lt;=1.1),$B$27,$B$28)))</f>
        <v>13.5</v>
      </c>
      <c r="D4" s="39">
        <v>1</v>
      </c>
      <c r="E4" s="39">
        <f t="shared" ref="E4:E20" si="1">IF(D4=0,"0",$H$26)</f>
        <v>1.5</v>
      </c>
      <c r="F4" s="43">
        <v>38.200000000000003</v>
      </c>
      <c r="G4" s="43">
        <f t="shared" ref="G4:G20" si="2">IF(F4&gt;34.3,$B$35,IF(F4&lt;=0,$B$32,IF(AND(F4&gt;0,F4&lt;=6),$B$33,$B$34)))</f>
        <v>13.5</v>
      </c>
      <c r="H4" s="39">
        <v>0</v>
      </c>
      <c r="I4" s="39" t="str">
        <f t="shared" ref="I4:I20" si="3">IF(H4=0,"0",$H$33)</f>
        <v>0</v>
      </c>
      <c r="J4" s="46">
        <v>3.9376315924823047E-2</v>
      </c>
      <c r="K4" s="42">
        <f t="shared" ref="K4:K20" si="4">IF(J4&gt;QUARTILE($J$4:$J$20,3),$B$42,IF(AND(J4&lt;=QUARTILE($J$4:$J$20,3),J4&gt;QUARTILE($J$4:$J$20,2)),$B$41,IF(AND(J4&lt;=QUARTILE($J$4:$J$20,2),J4&gt;QUARTILE($J$4:$J$20,1)),$B$40,$B$39)))</f>
        <v>2.5</v>
      </c>
      <c r="L4" s="161">
        <v>0.85119676610950223</v>
      </c>
      <c r="M4" s="42">
        <f t="shared" ref="M4:M20" si="5">IF(L4&gt;QUARTILE($L$4:$L$20,3),$B$48,IF(AND(L4&lt;=QUARTILE($L$4:$L$20,3),L4&gt;QUARTILE($L$4:$L$20,2)),$B$47,IF(AND(L4&lt;=QUARTILE($L$4:$L$20,2),L4&gt;QUARTILE($L$4:$L$20,1)),$B$46,$B$45)))</f>
        <v>3.75</v>
      </c>
      <c r="N4" s="43">
        <v>76.260000000000005</v>
      </c>
      <c r="O4" s="43">
        <f>IF(N4&gt;QUARTILE($N$4:$N$20,3),$B$54,IF(AND(N4&lt;=QUARTILE($N$4:$N$20,3),N4&gt;QUARTILE(N4:$N$20,2)),$B$53,IF(AND(N4&lt;=QUARTILE($N$4:$N$20,2),N4&gt;QUARTILE($N$4:$N$20,1)),$B$52,$B$51)))</f>
        <v>3.375</v>
      </c>
      <c r="P4" s="166">
        <v>1</v>
      </c>
      <c r="Q4" s="43">
        <f t="shared" ref="Q4:Q20" si="6">IF(P4=0,"0",$H$51)</f>
        <v>0.5</v>
      </c>
      <c r="R4" s="46">
        <v>8.5000000000000006E-2</v>
      </c>
      <c r="S4" s="42" t="str">
        <f t="shared" ref="S4:S20" si="7">IF(R4&gt;14.22%,"9",IF(R4&lt;=-3.38%,"2,25",IF(AND(R4&gt;-3.38%,R4&lt;=5.46%),"4,5","6,75")))</f>
        <v>6,75</v>
      </c>
      <c r="T4" s="47">
        <v>0</v>
      </c>
      <c r="U4" s="47" t="str">
        <f t="shared" ref="U4:U20" si="8">IF(T4=0,"0",$H$57)</f>
        <v>0</v>
      </c>
      <c r="V4" s="46">
        <v>8.5000000000000006E-2</v>
      </c>
      <c r="W4" s="42" t="str">
        <f t="shared" ref="W4:W20" si="9">IF(V4&gt;7.92%,"13,5",IF(V4&lt;=-8.43%,"3,375",IF(AND(V4&gt;-8.43%,V4&lt;=2.12%),"6,75","10,125")))</f>
        <v>13,5</v>
      </c>
      <c r="X4" s="47">
        <v>0</v>
      </c>
      <c r="Y4" s="162" t="str">
        <f t="shared" ref="Y4:Y20" si="10">IF(X4=0,"0",$H$63)</f>
        <v>0</v>
      </c>
      <c r="Z4" s="46">
        <v>6.5299999999999997E-2</v>
      </c>
      <c r="AA4" s="42" t="str">
        <f t="shared" ref="AA4:AA20" si="11">IF(Z4&gt;4.91%,"13,5",IF(Z4&lt;=-10.59%,"3,375",IF(AND(Z4&gt;-10.59%,Z4&lt;=0.77%),"6,75","10,125")))</f>
        <v>13,5</v>
      </c>
      <c r="AB4" s="47">
        <v>0</v>
      </c>
      <c r="AC4" s="162" t="str">
        <f t="shared" ref="AC4:AC20" si="12">IF(AB4=0,"0",$H$69)</f>
        <v>0</v>
      </c>
      <c r="AD4" s="48">
        <v>1.0929167158281636</v>
      </c>
      <c r="AE4" s="164">
        <f t="shared" ref="AE4:AE20" si="13">IF(AD4&gt;QUARTILE($AD$4:$AD$20,3),$B$78,IF(AND(AD4&lt;=QUARTILE($AD$4:$AD$20,3),AD4&gt;QUARTILE($AD$4:$AD$20,2)),$B$77,IF(AND(AD4&lt;=QUARTILE($AD$4:$AD$20,2),AD4&gt;QUARTILE($AD$4:$AD$20,1)),$B$76,$B$75)))</f>
        <v>3.375</v>
      </c>
      <c r="AF4" s="47">
        <v>1</v>
      </c>
      <c r="AG4" s="162">
        <f t="shared" ref="AG4:AG20" si="14">IF(AF4=0,"0",$J$75)</f>
        <v>0.5</v>
      </c>
      <c r="AH4" s="46">
        <v>0.52097230445365439</v>
      </c>
      <c r="AI4" s="42">
        <f t="shared" ref="AI4:AI20" si="15">IF(AH4&gt;QUARTILE($AH$4:$AH$20,3),$B$84,IF(AND(AH4&lt;=QUARTILE($AH$4:$AH$20,3),AH4&gt;QUARTILE($AH$4:$AH$20,2)),$B$83,IF(AND(AH4&lt;=QUARTILE($AH$4:$AH$20,2),AH4&gt;QUARTILE($AH$4:$AH$20,1)),$B$82,$B$81)))</f>
        <v>6.75</v>
      </c>
      <c r="AJ4" s="39">
        <v>1</v>
      </c>
      <c r="AK4" s="39">
        <f t="shared" ref="AK4:AK20" si="16">IF(AJ4=0,"0",$J$81)</f>
        <v>1</v>
      </c>
      <c r="AL4" s="160">
        <f t="shared" ref="AL4:AL20" si="17">C4+E4+G4+I4+K4+M4+O4+Q4+S4+U4+W4+Y4+AA4+AC4+AE4+AG4+AI4+AK4</f>
        <v>84</v>
      </c>
    </row>
    <row r="5" spans="1:38">
      <c r="A5" s="163" t="s">
        <v>488</v>
      </c>
      <c r="B5" s="43">
        <v>9.3000000000000007</v>
      </c>
      <c r="C5" s="43">
        <f t="shared" si="0"/>
        <v>13.5</v>
      </c>
      <c r="D5" s="39">
        <v>0</v>
      </c>
      <c r="E5" s="39" t="str">
        <f t="shared" si="1"/>
        <v>0</v>
      </c>
      <c r="F5" s="43">
        <v>16.5</v>
      </c>
      <c r="G5" s="43">
        <f t="shared" si="2"/>
        <v>10.125</v>
      </c>
      <c r="H5" s="39">
        <v>0</v>
      </c>
      <c r="I5" s="39" t="str">
        <f t="shared" si="3"/>
        <v>0</v>
      </c>
      <c r="J5" s="46">
        <v>-0.10680000000000001</v>
      </c>
      <c r="K5" s="42">
        <f t="shared" si="4"/>
        <v>1.25</v>
      </c>
      <c r="L5" s="161">
        <v>-0.41390262531109995</v>
      </c>
      <c r="M5" s="42">
        <f t="shared" si="5"/>
        <v>1.25</v>
      </c>
      <c r="N5" s="43">
        <v>124.18</v>
      </c>
      <c r="O5" s="43">
        <f>IF(N5&gt;QUARTILE($N$4:$N$20,3),$B$54,IF(AND(N5&lt;=QUARTILE($N$4:$N$20,3),N5&gt;QUARTILE(N5:$N$20,2)),$B$53,IF(AND(N5&lt;=QUARTILE($N$4:$N$20,2),N5&gt;QUARTILE($N$4:$N$20,1)),$B$52,$B$51)))</f>
        <v>2.25</v>
      </c>
      <c r="P5" s="43">
        <v>1</v>
      </c>
      <c r="Q5" s="43">
        <f t="shared" si="6"/>
        <v>0.5</v>
      </c>
      <c r="R5" s="46">
        <v>0.1769</v>
      </c>
      <c r="S5" s="42" t="str">
        <f t="shared" si="7"/>
        <v>9</v>
      </c>
      <c r="T5" s="47">
        <v>0</v>
      </c>
      <c r="U5" s="47" t="str">
        <f t="shared" si="8"/>
        <v>0</v>
      </c>
      <c r="V5" s="46">
        <v>0.1241</v>
      </c>
      <c r="W5" s="42" t="str">
        <f t="shared" si="9"/>
        <v>13,5</v>
      </c>
      <c r="X5" s="47">
        <v>0</v>
      </c>
      <c r="Y5" s="162" t="str">
        <f t="shared" si="10"/>
        <v>0</v>
      </c>
      <c r="Z5" s="46">
        <v>0.10879999999999999</v>
      </c>
      <c r="AA5" s="42" t="str">
        <f t="shared" si="11"/>
        <v>13,5</v>
      </c>
      <c r="AB5" s="47">
        <v>0</v>
      </c>
      <c r="AC5" s="162" t="str">
        <f t="shared" si="12"/>
        <v>0</v>
      </c>
      <c r="AD5" s="48">
        <v>1.1417406033860056</v>
      </c>
      <c r="AE5" s="162">
        <f t="shared" si="13"/>
        <v>4.5</v>
      </c>
      <c r="AF5" s="47">
        <v>0</v>
      </c>
      <c r="AG5" s="162" t="str">
        <f t="shared" si="14"/>
        <v>0</v>
      </c>
      <c r="AH5" s="46">
        <v>1.3942122478148535</v>
      </c>
      <c r="AI5" s="42">
        <f t="shared" si="15"/>
        <v>9</v>
      </c>
      <c r="AJ5" s="39">
        <v>0</v>
      </c>
      <c r="AK5" s="39" t="str">
        <f t="shared" si="16"/>
        <v>0</v>
      </c>
      <c r="AL5" s="160">
        <f t="shared" si="17"/>
        <v>78.375</v>
      </c>
    </row>
    <row r="6" spans="1:38">
      <c r="A6" s="163" t="s">
        <v>487</v>
      </c>
      <c r="B6" s="43">
        <v>6.3</v>
      </c>
      <c r="C6" s="43">
        <f t="shared" si="0"/>
        <v>13.5</v>
      </c>
      <c r="D6" s="39">
        <v>0</v>
      </c>
      <c r="E6" s="39" t="str">
        <f t="shared" si="1"/>
        <v>0</v>
      </c>
      <c r="F6" s="43">
        <v>14.7</v>
      </c>
      <c r="G6" s="43">
        <f t="shared" si="2"/>
        <v>10.125</v>
      </c>
      <c r="H6" s="39">
        <v>0</v>
      </c>
      <c r="I6" s="39" t="str">
        <f t="shared" si="3"/>
        <v>0</v>
      </c>
      <c r="J6" s="46">
        <v>1.0999999999999999E-2</v>
      </c>
      <c r="K6" s="42">
        <f t="shared" si="4"/>
        <v>1.25</v>
      </c>
      <c r="L6" s="161">
        <v>-8.7924136108040563E-2</v>
      </c>
      <c r="M6" s="42">
        <f t="shared" si="5"/>
        <v>2.5</v>
      </c>
      <c r="N6" s="43">
        <v>153.36000000000001</v>
      </c>
      <c r="O6" s="43">
        <f>IF(N6&gt;QUARTILE($N$4:$N$20,3),$B$54,IF(AND(N6&lt;=QUARTILE($N$4:$N$20,3),N6&gt;QUARTILE(N6:$N$20,2)),$B$53,IF(AND(N6&lt;=QUARTILE($N$4:$N$20,2),N6&gt;QUARTILE($N$4:$N$20,1)),$B$52,$B$51)))</f>
        <v>1.125</v>
      </c>
      <c r="P6" s="43">
        <v>0</v>
      </c>
      <c r="Q6" s="43" t="str">
        <f t="shared" si="6"/>
        <v>0</v>
      </c>
      <c r="R6" s="46">
        <v>7.4899999999999994E-2</v>
      </c>
      <c r="S6" s="42" t="str">
        <f t="shared" si="7"/>
        <v>6,75</v>
      </c>
      <c r="T6" s="47">
        <v>0</v>
      </c>
      <c r="U6" s="47" t="str">
        <f t="shared" si="8"/>
        <v>0</v>
      </c>
      <c r="V6" s="46">
        <v>4.3999999999999997E-2</v>
      </c>
      <c r="W6" s="42" t="str">
        <f t="shared" si="9"/>
        <v>10,125</v>
      </c>
      <c r="X6" s="47">
        <v>0</v>
      </c>
      <c r="Y6" s="162" t="str">
        <f t="shared" si="10"/>
        <v>0</v>
      </c>
      <c r="Z6" s="46">
        <v>4.5699999999999998E-2</v>
      </c>
      <c r="AA6" s="42" t="str">
        <f t="shared" si="11"/>
        <v>10,125</v>
      </c>
      <c r="AB6" s="47">
        <v>0</v>
      </c>
      <c r="AC6" s="162" t="str">
        <f t="shared" si="12"/>
        <v>0</v>
      </c>
      <c r="AD6" s="48">
        <v>1.0460168068145239</v>
      </c>
      <c r="AE6" s="49">
        <f t="shared" si="13"/>
        <v>2.25</v>
      </c>
      <c r="AF6" s="47">
        <v>0</v>
      </c>
      <c r="AG6" s="162" t="str">
        <f t="shared" si="14"/>
        <v>0</v>
      </c>
      <c r="AH6" s="46">
        <v>0.31184015033572665</v>
      </c>
      <c r="AI6" s="42">
        <f t="shared" si="15"/>
        <v>4.5</v>
      </c>
      <c r="AJ6" s="39">
        <v>1</v>
      </c>
      <c r="AK6" s="39">
        <f t="shared" si="16"/>
        <v>1</v>
      </c>
      <c r="AL6" s="160">
        <f t="shared" si="17"/>
        <v>63.25</v>
      </c>
    </row>
    <row r="7" spans="1:38">
      <c r="A7" s="163" t="s">
        <v>486</v>
      </c>
      <c r="B7" s="107">
        <v>-9.3000000000000007</v>
      </c>
      <c r="C7" s="43">
        <f t="shared" si="0"/>
        <v>3.375</v>
      </c>
      <c r="D7" s="39">
        <v>0</v>
      </c>
      <c r="E7" s="39" t="str">
        <f t="shared" si="1"/>
        <v>0</v>
      </c>
      <c r="F7" s="107">
        <v>-465.9</v>
      </c>
      <c r="G7" s="43">
        <f t="shared" si="2"/>
        <v>3.375</v>
      </c>
      <c r="H7" s="39">
        <v>0</v>
      </c>
      <c r="I7" s="39" t="str">
        <f t="shared" si="3"/>
        <v>0</v>
      </c>
      <c r="J7" s="46">
        <v>0.1</v>
      </c>
      <c r="K7" s="42">
        <f t="shared" si="4"/>
        <v>3.75</v>
      </c>
      <c r="L7" s="161">
        <v>-1.9216587924302224</v>
      </c>
      <c r="M7" s="42">
        <f t="shared" si="5"/>
        <v>1.25</v>
      </c>
      <c r="N7" s="43">
        <v>-34.409999999999997</v>
      </c>
      <c r="O7" s="43">
        <f>IF(N7&gt;QUARTILE($N$4:$N$20,3),$B$54,IF(AND(N7&lt;=QUARTILE($N$4:$N$20,3),N7&gt;QUARTILE(N7:$N$20,2)),$B$53,IF(AND(N7&lt;=QUARTILE($N$4:$N$20,2),N7&gt;QUARTILE($N$4:$N$20,1)),$B$52,$B$51)))</f>
        <v>4.5</v>
      </c>
      <c r="P7" s="43">
        <v>0</v>
      </c>
      <c r="Q7" s="43" t="str">
        <f t="shared" si="6"/>
        <v>0</v>
      </c>
      <c r="R7" s="46">
        <v>-4.7199999999999999E-2</v>
      </c>
      <c r="S7" s="42" t="str">
        <f t="shared" si="7"/>
        <v>2,25</v>
      </c>
      <c r="T7" s="47">
        <v>0</v>
      </c>
      <c r="U7" s="47" t="str">
        <f t="shared" si="8"/>
        <v>0</v>
      </c>
      <c r="V7" s="46">
        <v>-5.6899999999999999E-2</v>
      </c>
      <c r="W7" s="42" t="str">
        <f t="shared" si="9"/>
        <v>6,75</v>
      </c>
      <c r="X7" s="47">
        <v>0</v>
      </c>
      <c r="Y7" s="162" t="str">
        <f t="shared" si="10"/>
        <v>0</v>
      </c>
      <c r="Z7" s="46">
        <v>-9.01E-2</v>
      </c>
      <c r="AA7" s="42" t="str">
        <f t="shared" si="11"/>
        <v>6,75</v>
      </c>
      <c r="AB7" s="47">
        <v>0</v>
      </c>
      <c r="AC7" s="162" t="str">
        <f t="shared" si="12"/>
        <v>0</v>
      </c>
      <c r="AD7" s="48">
        <v>0.94620613780211726</v>
      </c>
      <c r="AE7" s="164">
        <f t="shared" si="13"/>
        <v>1.125</v>
      </c>
      <c r="AF7" s="47">
        <v>0</v>
      </c>
      <c r="AG7" s="162" t="str">
        <f t="shared" si="14"/>
        <v>0</v>
      </c>
      <c r="AH7" s="46">
        <v>-0.21131457351118066</v>
      </c>
      <c r="AI7" s="42">
        <f t="shared" si="15"/>
        <v>2.25</v>
      </c>
      <c r="AJ7" s="39">
        <v>0</v>
      </c>
      <c r="AK7" s="39" t="str">
        <f t="shared" si="16"/>
        <v>0</v>
      </c>
      <c r="AL7" s="160">
        <f t="shared" si="17"/>
        <v>35.375</v>
      </c>
    </row>
    <row r="8" spans="1:38">
      <c r="A8" s="163" t="s">
        <v>485</v>
      </c>
      <c r="B8" s="43">
        <v>8.1</v>
      </c>
      <c r="C8" s="43">
        <f t="shared" si="0"/>
        <v>13.5</v>
      </c>
      <c r="D8" s="39">
        <v>1</v>
      </c>
      <c r="E8" s="39">
        <f t="shared" si="1"/>
        <v>1.5</v>
      </c>
      <c r="F8" s="43">
        <v>9.6</v>
      </c>
      <c r="G8" s="43">
        <f t="shared" si="2"/>
        <v>10.125</v>
      </c>
      <c r="H8" s="39">
        <v>1</v>
      </c>
      <c r="I8" s="39">
        <f t="shared" si="3"/>
        <v>1.5</v>
      </c>
      <c r="J8" s="46">
        <v>6.7100000000000007E-2</v>
      </c>
      <c r="K8" s="42">
        <f t="shared" si="4"/>
        <v>3.75</v>
      </c>
      <c r="L8" s="161">
        <v>2.6250830983655411</v>
      </c>
      <c r="M8" s="42">
        <f t="shared" si="5"/>
        <v>5</v>
      </c>
      <c r="N8" s="43">
        <v>57.47</v>
      </c>
      <c r="O8" s="43">
        <f>IF(N8&gt;QUARTILE($N$4:$N$20,3),$B$54,IF(AND(N8&lt;=QUARTILE($N$4:$N$20,3),N8&gt;QUARTILE(N8:$N$20,2)),$B$53,IF(AND(N8&lt;=QUARTILE($N$4:$N$20,2),N8&gt;QUARTILE($N$4:$N$20,1)),$B$52,$B$51)))</f>
        <v>3.375</v>
      </c>
      <c r="P8" s="43">
        <v>1</v>
      </c>
      <c r="Q8" s="43">
        <f t="shared" si="6"/>
        <v>0.5</v>
      </c>
      <c r="R8" s="46">
        <v>0.11990000000000001</v>
      </c>
      <c r="S8" s="42" t="str">
        <f t="shared" si="7"/>
        <v>6,75</v>
      </c>
      <c r="T8" s="47">
        <v>1</v>
      </c>
      <c r="U8" s="47">
        <f t="shared" si="8"/>
        <v>1</v>
      </c>
      <c r="V8" s="46">
        <v>7.4300000000000005E-2</v>
      </c>
      <c r="W8" s="42" t="str">
        <f t="shared" si="9"/>
        <v>10,125</v>
      </c>
      <c r="X8" s="47">
        <v>1</v>
      </c>
      <c r="Y8" s="162">
        <f t="shared" si="10"/>
        <v>1.5</v>
      </c>
      <c r="Z8" s="46">
        <v>6.0199999999999997E-2</v>
      </c>
      <c r="AA8" s="42" t="str">
        <f t="shared" si="11"/>
        <v>13,5</v>
      </c>
      <c r="AB8" s="47">
        <v>1</v>
      </c>
      <c r="AC8" s="162">
        <f t="shared" si="12"/>
        <v>1.5</v>
      </c>
      <c r="AD8" s="48">
        <v>1.0802782481776447</v>
      </c>
      <c r="AE8" s="164">
        <f t="shared" si="13"/>
        <v>3.375</v>
      </c>
      <c r="AF8" s="47">
        <v>1</v>
      </c>
      <c r="AG8" s="162">
        <f t="shared" si="14"/>
        <v>0.5</v>
      </c>
      <c r="AH8" s="46">
        <v>0.20840654021731519</v>
      </c>
      <c r="AI8" s="42">
        <f t="shared" si="15"/>
        <v>4.5</v>
      </c>
      <c r="AJ8" s="39">
        <v>1</v>
      </c>
      <c r="AK8" s="39">
        <f t="shared" si="16"/>
        <v>1</v>
      </c>
      <c r="AL8" s="160">
        <f t="shared" si="17"/>
        <v>83</v>
      </c>
    </row>
    <row r="9" spans="1:38">
      <c r="A9" s="163" t="s">
        <v>484</v>
      </c>
      <c r="B9" s="43">
        <v>0.3</v>
      </c>
      <c r="C9" s="43">
        <f t="shared" si="0"/>
        <v>6.75</v>
      </c>
      <c r="D9" s="39">
        <v>0</v>
      </c>
      <c r="E9" s="39" t="str">
        <f t="shared" si="1"/>
        <v>0</v>
      </c>
      <c r="F9" s="43">
        <v>0.9</v>
      </c>
      <c r="G9" s="43">
        <f t="shared" si="2"/>
        <v>6.75</v>
      </c>
      <c r="H9" s="39">
        <v>0</v>
      </c>
      <c r="I9" s="39" t="str">
        <f t="shared" si="3"/>
        <v>0</v>
      </c>
      <c r="J9" s="46">
        <v>5.2200000000000003E-2</v>
      </c>
      <c r="K9" s="42">
        <f t="shared" si="4"/>
        <v>2.5</v>
      </c>
      <c r="L9" s="161">
        <v>-0.5084269662921348</v>
      </c>
      <c r="M9" s="42">
        <f t="shared" si="5"/>
        <v>1.25</v>
      </c>
      <c r="N9" s="43">
        <v>8.4</v>
      </c>
      <c r="O9" s="43">
        <f>IF(N9&gt;QUARTILE($N$4:$N$20,3),$B$54,IF(AND(N9&lt;=QUARTILE($N$4:$N$20,3),N9&gt;QUARTILE(N9:$N$20,2)),$B$53,IF(AND(N9&lt;=QUARTILE($N$4:$N$20,2),N9&gt;QUARTILE($N$4:$N$20,1)),$B$52,$B$51)))</f>
        <v>4.5</v>
      </c>
      <c r="P9" s="43">
        <v>0</v>
      </c>
      <c r="Q9" s="43" t="str">
        <f t="shared" si="6"/>
        <v>0</v>
      </c>
      <c r="R9" s="46">
        <v>2.18E-2</v>
      </c>
      <c r="S9" s="42" t="str">
        <f t="shared" si="7"/>
        <v>4,5</v>
      </c>
      <c r="T9" s="47">
        <v>1</v>
      </c>
      <c r="U9" s="47">
        <f t="shared" si="8"/>
        <v>1</v>
      </c>
      <c r="V9" s="46">
        <v>5.3E-3</v>
      </c>
      <c r="W9" s="42" t="str">
        <f t="shared" si="9"/>
        <v>6,75</v>
      </c>
      <c r="X9" s="47">
        <v>0</v>
      </c>
      <c r="Y9" s="162" t="str">
        <f t="shared" si="10"/>
        <v>0</v>
      </c>
      <c r="Z9" s="46">
        <v>1.1000000000000001E-3</v>
      </c>
      <c r="AA9" s="42" t="str">
        <f t="shared" si="11"/>
        <v>6,75</v>
      </c>
      <c r="AB9" s="47">
        <v>0</v>
      </c>
      <c r="AC9" s="162" t="str">
        <f t="shared" si="12"/>
        <v>0</v>
      </c>
      <c r="AD9" s="48">
        <v>1.005318538463706</v>
      </c>
      <c r="AE9" s="164">
        <f t="shared" si="13"/>
        <v>1.125</v>
      </c>
      <c r="AF9" s="47">
        <v>0</v>
      </c>
      <c r="AG9" s="162" t="str">
        <f t="shared" si="14"/>
        <v>0</v>
      </c>
      <c r="AH9" s="46">
        <v>5.4957740073634354E-2</v>
      </c>
      <c r="AI9" s="42">
        <f t="shared" si="15"/>
        <v>2.25</v>
      </c>
      <c r="AJ9" s="39">
        <v>0</v>
      </c>
      <c r="AK9" s="39" t="str">
        <f t="shared" si="16"/>
        <v>0</v>
      </c>
      <c r="AL9" s="160">
        <f t="shared" si="17"/>
        <v>44.125</v>
      </c>
    </row>
    <row r="10" spans="1:38">
      <c r="A10" s="163" t="s">
        <v>483</v>
      </c>
      <c r="B10" s="43">
        <v>15.4</v>
      </c>
      <c r="C10" s="43">
        <f t="shared" si="0"/>
        <v>13.5</v>
      </c>
      <c r="D10" s="39">
        <v>1</v>
      </c>
      <c r="E10" s="39">
        <f t="shared" si="1"/>
        <v>1.5</v>
      </c>
      <c r="F10" s="43">
        <v>22.2</v>
      </c>
      <c r="G10" s="43">
        <f t="shared" si="2"/>
        <v>10.125</v>
      </c>
      <c r="H10" s="39">
        <v>1</v>
      </c>
      <c r="I10" s="39">
        <f t="shared" si="3"/>
        <v>1.5</v>
      </c>
      <c r="J10" s="46">
        <v>3.2000000000000002E-3</v>
      </c>
      <c r="K10" s="42">
        <f t="shared" si="4"/>
        <v>1.25</v>
      </c>
      <c r="L10" s="161">
        <v>11.589869339538213</v>
      </c>
      <c r="M10" s="42">
        <f t="shared" si="5"/>
        <v>5</v>
      </c>
      <c r="N10" s="43">
        <v>116.83</v>
      </c>
      <c r="O10" s="43">
        <f>IF(N10&gt;QUARTILE($N$4:$N$20,3),$B$54,IF(AND(N10&lt;=QUARTILE($N$4:$N$20,3),N10&gt;QUARTILE(N10:$N$20,2)),$B$53,IF(AND(N10&lt;=QUARTILE($N$4:$N$20,2),N10&gt;QUARTILE($N$4:$N$20,1)),$B$52,$B$51)))</f>
        <v>2.25</v>
      </c>
      <c r="P10" s="43">
        <v>1</v>
      </c>
      <c r="Q10" s="43">
        <f t="shared" si="6"/>
        <v>0.5</v>
      </c>
      <c r="R10" s="46">
        <v>0.2049</v>
      </c>
      <c r="S10" s="42" t="str">
        <f t="shared" si="7"/>
        <v>9</v>
      </c>
      <c r="T10" s="47">
        <v>1</v>
      </c>
      <c r="U10" s="47">
        <f t="shared" si="8"/>
        <v>1</v>
      </c>
      <c r="V10" s="46">
        <v>0.18820000000000001</v>
      </c>
      <c r="W10" s="42" t="str">
        <f t="shared" si="9"/>
        <v>13,5</v>
      </c>
      <c r="X10" s="47">
        <v>1</v>
      </c>
      <c r="Y10" s="162">
        <f t="shared" si="10"/>
        <v>1.5</v>
      </c>
      <c r="Z10" s="46">
        <v>0.13370000000000001</v>
      </c>
      <c r="AA10" s="42" t="str">
        <f t="shared" si="11"/>
        <v>13,5</v>
      </c>
      <c r="AB10" s="47">
        <v>1</v>
      </c>
      <c r="AC10" s="162">
        <f t="shared" si="12"/>
        <v>1.5</v>
      </c>
      <c r="AD10" s="48">
        <v>1.2318348151694098</v>
      </c>
      <c r="AE10" s="162">
        <f t="shared" si="13"/>
        <v>4.5</v>
      </c>
      <c r="AF10" s="47">
        <v>1</v>
      </c>
      <c r="AG10" s="162">
        <f t="shared" si="14"/>
        <v>0.5</v>
      </c>
      <c r="AH10" s="46">
        <v>1.1145090356280176</v>
      </c>
      <c r="AI10" s="42">
        <f t="shared" si="15"/>
        <v>9</v>
      </c>
      <c r="AJ10" s="39">
        <v>1</v>
      </c>
      <c r="AK10" s="39">
        <f t="shared" si="16"/>
        <v>1</v>
      </c>
      <c r="AL10" s="160">
        <f t="shared" si="17"/>
        <v>90.625</v>
      </c>
    </row>
    <row r="11" spans="1:38">
      <c r="A11" s="163" t="s">
        <v>482</v>
      </c>
      <c r="B11" s="43">
        <v>9.1999999999999993</v>
      </c>
      <c r="C11" s="43">
        <f t="shared" si="0"/>
        <v>13.5</v>
      </c>
      <c r="D11" s="39">
        <v>1</v>
      </c>
      <c r="E11" s="39">
        <f t="shared" si="1"/>
        <v>1.5</v>
      </c>
      <c r="F11" s="43">
        <v>9.9</v>
      </c>
      <c r="G11" s="43">
        <f t="shared" si="2"/>
        <v>10.125</v>
      </c>
      <c r="H11" s="39">
        <v>1</v>
      </c>
      <c r="I11" s="39">
        <f t="shared" si="3"/>
        <v>1.5</v>
      </c>
      <c r="J11" s="46">
        <v>5.0500000000000003E-2</v>
      </c>
      <c r="K11" s="42">
        <f t="shared" si="4"/>
        <v>2.5</v>
      </c>
      <c r="L11" s="161">
        <v>0.29930851005353826</v>
      </c>
      <c r="M11" s="42">
        <f t="shared" si="5"/>
        <v>2.5</v>
      </c>
      <c r="N11" s="43">
        <v>-8.7799999999999994</v>
      </c>
      <c r="O11" s="43">
        <f>IF(N11&gt;QUARTILE($N$4:$N$20,3),$B$54,IF(AND(N11&lt;=QUARTILE($N$4:$N$20,3),N11&gt;QUARTILE(N11:$N$20,2)),$B$53,IF(AND(N11&lt;=QUARTILE($N$4:$N$20,2),N11&gt;QUARTILE($N$4:$N$20,1)),$B$52,$B$51)))</f>
        <v>4.5</v>
      </c>
      <c r="P11" s="43">
        <v>1</v>
      </c>
      <c r="Q11" s="43">
        <f t="shared" si="6"/>
        <v>0.5</v>
      </c>
      <c r="R11" s="46">
        <v>0.63129999999999997</v>
      </c>
      <c r="S11" s="42" t="str">
        <f t="shared" si="7"/>
        <v>9</v>
      </c>
      <c r="T11" s="47">
        <v>1</v>
      </c>
      <c r="U11" s="47">
        <f t="shared" si="8"/>
        <v>1</v>
      </c>
      <c r="V11" s="46">
        <v>0.38450000000000001</v>
      </c>
      <c r="W11" s="42" t="str">
        <f t="shared" si="9"/>
        <v>13,5</v>
      </c>
      <c r="X11" s="47">
        <v>1</v>
      </c>
      <c r="Y11" s="162">
        <f t="shared" si="10"/>
        <v>1.5</v>
      </c>
      <c r="Z11" s="46">
        <v>0.58650000000000002</v>
      </c>
      <c r="AA11" s="42" t="str">
        <f t="shared" si="11"/>
        <v>13,5</v>
      </c>
      <c r="AB11" s="47">
        <v>1</v>
      </c>
      <c r="AC11" s="162">
        <f t="shared" si="12"/>
        <v>1.5</v>
      </c>
      <c r="AD11" s="48">
        <v>1.6246902742908642</v>
      </c>
      <c r="AE11" s="162">
        <f t="shared" si="13"/>
        <v>4.5</v>
      </c>
      <c r="AF11" s="47">
        <v>1</v>
      </c>
      <c r="AG11" s="162">
        <f t="shared" si="14"/>
        <v>0.5</v>
      </c>
      <c r="AH11" s="46">
        <v>0.14150045157319704</v>
      </c>
      <c r="AI11" s="42">
        <f t="shared" si="15"/>
        <v>4.5</v>
      </c>
      <c r="AJ11" s="39">
        <v>1</v>
      </c>
      <c r="AK11" s="39">
        <f t="shared" si="16"/>
        <v>1</v>
      </c>
      <c r="AL11" s="160">
        <f t="shared" si="17"/>
        <v>87.125</v>
      </c>
    </row>
    <row r="12" spans="1:38">
      <c r="A12" s="163" t="s">
        <v>481</v>
      </c>
      <c r="B12" s="43">
        <v>10.9</v>
      </c>
      <c r="C12" s="43">
        <f t="shared" si="0"/>
        <v>13.5</v>
      </c>
      <c r="D12" s="39">
        <v>1</v>
      </c>
      <c r="E12" s="39">
        <f t="shared" si="1"/>
        <v>1.5</v>
      </c>
      <c r="F12" s="43">
        <v>14.4</v>
      </c>
      <c r="G12" s="43">
        <f t="shared" si="2"/>
        <v>10.125</v>
      </c>
      <c r="H12" s="39">
        <v>1</v>
      </c>
      <c r="I12" s="39">
        <f t="shared" si="3"/>
        <v>1.5</v>
      </c>
      <c r="J12" s="46">
        <v>0.12280000000000001</v>
      </c>
      <c r="K12" s="42">
        <f t="shared" si="4"/>
        <v>3.75</v>
      </c>
      <c r="L12" s="161">
        <v>0.35575746635377181</v>
      </c>
      <c r="M12" s="42">
        <f t="shared" si="5"/>
        <v>3.75</v>
      </c>
      <c r="N12" s="43">
        <v>40.68</v>
      </c>
      <c r="O12" s="43">
        <f>IF(N12&gt;QUARTILE($N$4:$N$20,3),$B$54,IF(AND(N12&lt;=QUARTILE($N$4:$N$20,3),N12&gt;QUARTILE(N12:$N$20,2)),$B$53,IF(AND(N12&lt;=QUARTILE($N$4:$N$20,2),N12&gt;QUARTILE($N$4:$N$20,1)),$B$52,$B$51)))</f>
        <v>4.5</v>
      </c>
      <c r="P12" s="43">
        <v>1</v>
      </c>
      <c r="Q12" s="43">
        <f t="shared" si="6"/>
        <v>0.5</v>
      </c>
      <c r="R12" s="46">
        <v>0.1023</v>
      </c>
      <c r="S12" s="42" t="str">
        <f t="shared" si="7"/>
        <v>6,75</v>
      </c>
      <c r="T12" s="47">
        <v>1</v>
      </c>
      <c r="U12" s="47">
        <f t="shared" si="8"/>
        <v>1</v>
      </c>
      <c r="V12" s="46">
        <v>7.9100000000000004E-2</v>
      </c>
      <c r="W12" s="42" t="str">
        <f t="shared" si="9"/>
        <v>10,125</v>
      </c>
      <c r="X12" s="47">
        <v>1</v>
      </c>
      <c r="Y12" s="162">
        <f t="shared" si="10"/>
        <v>1.5</v>
      </c>
      <c r="Z12" s="46">
        <v>6.9199999999999998E-2</v>
      </c>
      <c r="AA12" s="42" t="str">
        <f t="shared" si="11"/>
        <v>13,5</v>
      </c>
      <c r="AB12" s="47">
        <v>1</v>
      </c>
      <c r="AC12" s="162">
        <f t="shared" si="12"/>
        <v>1.5</v>
      </c>
      <c r="AD12" s="48">
        <v>1.0859182890281136</v>
      </c>
      <c r="AE12" s="164">
        <f t="shared" si="13"/>
        <v>3.375</v>
      </c>
      <c r="AF12" s="47">
        <v>1</v>
      </c>
      <c r="AG12" s="162">
        <f t="shared" si="14"/>
        <v>0.5</v>
      </c>
      <c r="AH12" s="46">
        <v>0.33507908264136022</v>
      </c>
      <c r="AI12" s="42">
        <f t="shared" si="15"/>
        <v>6.75</v>
      </c>
      <c r="AJ12" s="39">
        <v>1</v>
      </c>
      <c r="AK12" s="39">
        <f t="shared" si="16"/>
        <v>1</v>
      </c>
      <c r="AL12" s="160">
        <f t="shared" si="17"/>
        <v>85.125</v>
      </c>
    </row>
    <row r="13" spans="1:38">
      <c r="A13" s="163" t="s">
        <v>480</v>
      </c>
      <c r="B13" s="43">
        <v>8.4</v>
      </c>
      <c r="C13" s="43">
        <f t="shared" si="0"/>
        <v>13.5</v>
      </c>
      <c r="D13" s="39">
        <v>0</v>
      </c>
      <c r="E13" s="39" t="str">
        <f t="shared" si="1"/>
        <v>0</v>
      </c>
      <c r="F13" s="43">
        <v>16.3</v>
      </c>
      <c r="G13" s="43">
        <f t="shared" si="2"/>
        <v>10.125</v>
      </c>
      <c r="H13" s="39">
        <v>0</v>
      </c>
      <c r="I13" s="39" t="str">
        <f t="shared" si="3"/>
        <v>0</v>
      </c>
      <c r="J13" s="46">
        <v>1.9099999999999999E-2</v>
      </c>
      <c r="K13" s="42">
        <f t="shared" si="4"/>
        <v>2.5</v>
      </c>
      <c r="L13" s="161">
        <v>-0.27679561304166417</v>
      </c>
      <c r="M13" s="42">
        <f t="shared" si="5"/>
        <v>1.25</v>
      </c>
      <c r="N13" s="43">
        <v>200.04</v>
      </c>
      <c r="O13" s="43">
        <f>IF(N13&gt;QUARTILE($N$4:$N$20,3),$B$54,IF(AND(N13&lt;=QUARTILE($N$4:$N$20,3),N13&gt;QUARTILE(N13:$N$20,2)),$B$53,IF(AND(N13&lt;=QUARTILE($N$4:$N$20,2),N13&gt;QUARTILE($N$4:$N$20,1)),$B$52,$B$51)))</f>
        <v>1.125</v>
      </c>
      <c r="P13" s="43">
        <v>0</v>
      </c>
      <c r="Q13" s="43" t="str">
        <f t="shared" si="6"/>
        <v>0</v>
      </c>
      <c r="R13" s="46">
        <v>0.1149</v>
      </c>
      <c r="S13" s="42" t="str">
        <f t="shared" si="7"/>
        <v>6,75</v>
      </c>
      <c r="T13" s="47">
        <v>0</v>
      </c>
      <c r="U13" s="47" t="str">
        <f t="shared" si="8"/>
        <v>0</v>
      </c>
      <c r="V13" s="46">
        <v>9.2100000000000001E-2</v>
      </c>
      <c r="W13" s="42" t="str">
        <f t="shared" si="9"/>
        <v>13,5</v>
      </c>
      <c r="X13" s="47">
        <v>0</v>
      </c>
      <c r="Y13" s="162" t="str">
        <f t="shared" si="10"/>
        <v>0</v>
      </c>
      <c r="Z13" s="46">
        <v>6.59E-2</v>
      </c>
      <c r="AA13" s="42" t="str">
        <f t="shared" si="11"/>
        <v>13,5</v>
      </c>
      <c r="AB13" s="47">
        <v>0</v>
      </c>
      <c r="AC13" s="162" t="str">
        <f t="shared" si="12"/>
        <v>0</v>
      </c>
      <c r="AD13" s="48">
        <v>1.1014617463194294</v>
      </c>
      <c r="AE13" s="162">
        <f t="shared" si="13"/>
        <v>4.5</v>
      </c>
      <c r="AF13" s="47">
        <v>0</v>
      </c>
      <c r="AG13" s="162" t="str">
        <f t="shared" si="14"/>
        <v>0</v>
      </c>
      <c r="AH13" s="46">
        <v>0.49472602276014449</v>
      </c>
      <c r="AI13" s="42">
        <f t="shared" si="15"/>
        <v>6.75</v>
      </c>
      <c r="AJ13" s="39">
        <v>1</v>
      </c>
      <c r="AK13" s="39">
        <f t="shared" si="16"/>
        <v>1</v>
      </c>
      <c r="AL13" s="160">
        <f t="shared" si="17"/>
        <v>74.5</v>
      </c>
    </row>
    <row r="14" spans="1:38">
      <c r="A14" s="163" t="s">
        <v>479</v>
      </c>
      <c r="B14" s="43">
        <v>12.4</v>
      </c>
      <c r="C14" s="43">
        <f t="shared" si="0"/>
        <v>13.5</v>
      </c>
      <c r="D14" s="39">
        <v>1</v>
      </c>
      <c r="E14" s="39">
        <f t="shared" si="1"/>
        <v>1.5</v>
      </c>
      <c r="F14" s="43">
        <v>36.299999999999997</v>
      </c>
      <c r="G14" s="43">
        <f t="shared" si="2"/>
        <v>13.5</v>
      </c>
      <c r="H14" s="39">
        <v>1</v>
      </c>
      <c r="I14" s="39">
        <f t="shared" si="3"/>
        <v>1.5</v>
      </c>
      <c r="J14" s="46">
        <v>0.1636</v>
      </c>
      <c r="K14" s="42">
        <f t="shared" si="4"/>
        <v>5</v>
      </c>
      <c r="L14" s="161">
        <v>4.7164091416485521</v>
      </c>
      <c r="M14" s="42">
        <f t="shared" si="5"/>
        <v>5</v>
      </c>
      <c r="N14" s="43">
        <v>76.400000000000006</v>
      </c>
      <c r="O14" s="43">
        <f>IF(N14&gt;QUARTILE($N$4:$N$20,3),$B$54,IF(AND(N14&lt;=QUARTILE($N$4:$N$20,3),N14&gt;QUARTILE(N14:$N$20,2)),$B$53,IF(AND(N14&lt;=QUARTILE($N$4:$N$20,2),N14&gt;QUARTILE($N$4:$N$20,1)),$B$52,$B$51)))</f>
        <v>4.5</v>
      </c>
      <c r="P14" s="43">
        <v>0</v>
      </c>
      <c r="Q14" s="43" t="str">
        <f t="shared" si="6"/>
        <v>0</v>
      </c>
      <c r="R14" s="46">
        <v>0.10730000000000001</v>
      </c>
      <c r="S14" s="42" t="str">
        <f t="shared" si="7"/>
        <v>6,75</v>
      </c>
      <c r="T14" s="47">
        <v>1</v>
      </c>
      <c r="U14" s="47">
        <f t="shared" si="8"/>
        <v>1</v>
      </c>
      <c r="V14" s="46">
        <v>7.1999999999999995E-2</v>
      </c>
      <c r="W14" s="42" t="str">
        <f t="shared" si="9"/>
        <v>10,125</v>
      </c>
      <c r="X14" s="47">
        <v>1</v>
      </c>
      <c r="Y14" s="162">
        <f t="shared" si="10"/>
        <v>1.5</v>
      </c>
      <c r="Z14" s="46">
        <v>6.3899999999999998E-2</v>
      </c>
      <c r="AA14" s="42" t="str">
        <f t="shared" si="11"/>
        <v>13,5</v>
      </c>
      <c r="AB14" s="47">
        <v>1</v>
      </c>
      <c r="AC14" s="162">
        <f t="shared" si="12"/>
        <v>1.5</v>
      </c>
      <c r="AD14" s="48">
        <v>1.0726161651101118</v>
      </c>
      <c r="AE14" s="49">
        <f t="shared" si="13"/>
        <v>2.25</v>
      </c>
      <c r="AF14" s="47">
        <v>1</v>
      </c>
      <c r="AG14" s="162">
        <f t="shared" si="14"/>
        <v>0.5</v>
      </c>
      <c r="AH14" s="46">
        <v>0.67405688046775958</v>
      </c>
      <c r="AI14" s="42">
        <f t="shared" si="15"/>
        <v>9</v>
      </c>
      <c r="AJ14" s="39">
        <v>1</v>
      </c>
      <c r="AK14" s="39">
        <f t="shared" si="16"/>
        <v>1</v>
      </c>
      <c r="AL14" s="160">
        <f t="shared" si="17"/>
        <v>91.625</v>
      </c>
    </row>
    <row r="15" spans="1:38">
      <c r="A15" s="163" t="s">
        <v>478</v>
      </c>
      <c r="B15" s="43">
        <v>3.2</v>
      </c>
      <c r="C15" s="43">
        <f t="shared" si="0"/>
        <v>10.125</v>
      </c>
      <c r="D15" s="39">
        <v>1</v>
      </c>
      <c r="E15" s="39">
        <f t="shared" si="1"/>
        <v>1.5</v>
      </c>
      <c r="F15" s="43">
        <v>4.8</v>
      </c>
      <c r="G15" s="43">
        <f t="shared" si="2"/>
        <v>6.75</v>
      </c>
      <c r="H15" s="39">
        <v>1</v>
      </c>
      <c r="I15" s="39">
        <f t="shared" si="3"/>
        <v>1.5</v>
      </c>
      <c r="J15" s="46">
        <v>-2.3300000000000001E-2</v>
      </c>
      <c r="K15" s="42">
        <f t="shared" si="4"/>
        <v>1.25</v>
      </c>
      <c r="L15" s="161">
        <v>0.73535631731667728</v>
      </c>
      <c r="M15" s="42">
        <f t="shared" si="5"/>
        <v>3.75</v>
      </c>
      <c r="N15" s="43">
        <v>126.29</v>
      </c>
      <c r="O15" s="43">
        <f>IF(N15&gt;QUARTILE($N$4:$N$20,3),$B$54,IF(AND(N15&lt;=QUARTILE($N$4:$N$20,3),N15&gt;QUARTILE(N15:$N$20,2)),$B$53,IF(AND(N15&lt;=QUARTILE($N$4:$N$20,2),N15&gt;QUARTILE($N$4:$N$20,1)),$B$52,$B$51)))</f>
        <v>1.125</v>
      </c>
      <c r="P15" s="43">
        <v>0</v>
      </c>
      <c r="Q15" s="43" t="str">
        <f t="shared" si="6"/>
        <v>0</v>
      </c>
      <c r="R15" s="46">
        <v>3.85E-2</v>
      </c>
      <c r="S15" s="42" t="str">
        <f t="shared" si="7"/>
        <v>4,5</v>
      </c>
      <c r="T15" s="47">
        <v>1</v>
      </c>
      <c r="U15" s="47">
        <f t="shared" si="8"/>
        <v>1</v>
      </c>
      <c r="V15" s="46">
        <v>1.66E-2</v>
      </c>
      <c r="W15" s="42" t="str">
        <f t="shared" si="9"/>
        <v>6,75</v>
      </c>
      <c r="X15" s="47">
        <v>1</v>
      </c>
      <c r="Y15" s="162">
        <f t="shared" si="10"/>
        <v>1.5</v>
      </c>
      <c r="Z15" s="46">
        <v>2.2100000000000002E-2</v>
      </c>
      <c r="AA15" s="42" t="str">
        <f t="shared" si="11"/>
        <v>10,125</v>
      </c>
      <c r="AB15" s="47">
        <v>1</v>
      </c>
      <c r="AC15" s="162">
        <f t="shared" si="12"/>
        <v>1.5</v>
      </c>
      <c r="AD15" s="48">
        <v>1.0168791288324035</v>
      </c>
      <c r="AE15" s="164">
        <f t="shared" si="13"/>
        <v>1.125</v>
      </c>
      <c r="AF15" s="47">
        <v>1</v>
      </c>
      <c r="AG15" s="162">
        <f t="shared" si="14"/>
        <v>0.5</v>
      </c>
      <c r="AH15" s="46">
        <v>9.9624529989118374E-2</v>
      </c>
      <c r="AI15" s="42">
        <f t="shared" si="15"/>
        <v>2.25</v>
      </c>
      <c r="AJ15" s="39">
        <v>1</v>
      </c>
      <c r="AK15" s="39">
        <f t="shared" si="16"/>
        <v>1</v>
      </c>
      <c r="AL15" s="160">
        <f t="shared" si="17"/>
        <v>56.25</v>
      </c>
    </row>
    <row r="16" spans="1:38">
      <c r="A16" s="163" t="s">
        <v>477</v>
      </c>
      <c r="B16" s="165">
        <v>62</v>
      </c>
      <c r="C16" s="43">
        <f t="shared" si="0"/>
        <v>13.5</v>
      </c>
      <c r="D16" s="39">
        <v>1</v>
      </c>
      <c r="E16" s="39">
        <f t="shared" si="1"/>
        <v>1.5</v>
      </c>
      <c r="F16" s="43">
        <v>-490.5</v>
      </c>
      <c r="G16" s="43">
        <f t="shared" si="2"/>
        <v>3.375</v>
      </c>
      <c r="H16" s="39">
        <v>0</v>
      </c>
      <c r="I16" s="39" t="str">
        <f t="shared" si="3"/>
        <v>0</v>
      </c>
      <c r="J16" s="46">
        <v>0.34520000000000001</v>
      </c>
      <c r="K16" s="42">
        <f t="shared" si="4"/>
        <v>5</v>
      </c>
      <c r="L16" s="161">
        <v>2.1705023141267885</v>
      </c>
      <c r="M16" s="42">
        <f t="shared" si="5"/>
        <v>5</v>
      </c>
      <c r="N16" s="43">
        <v>78.78</v>
      </c>
      <c r="O16" s="43">
        <f>IF(N16&gt;QUARTILE($N$4:$N$20,3),$B$54,IF(AND(N16&lt;=QUARTILE($N$4:$N$20,3),N16&gt;QUARTILE(N16:$N$20,2)),$B$53,IF(AND(N16&lt;=QUARTILE($N$4:$N$20,2),N16&gt;QUARTILE($N$4:$N$20,1)),$B$52,$B$51)))</f>
        <v>2.25</v>
      </c>
      <c r="P16" s="43">
        <v>0</v>
      </c>
      <c r="Q16" s="43" t="str">
        <f t="shared" si="6"/>
        <v>0</v>
      </c>
      <c r="R16" s="46">
        <v>0.2336</v>
      </c>
      <c r="S16" s="42" t="str">
        <f t="shared" si="7"/>
        <v>9</v>
      </c>
      <c r="T16" s="47">
        <v>1</v>
      </c>
      <c r="U16" s="47">
        <f t="shared" si="8"/>
        <v>1</v>
      </c>
      <c r="V16" s="46">
        <v>0.2293</v>
      </c>
      <c r="W16" s="42" t="str">
        <f t="shared" si="9"/>
        <v>13,5</v>
      </c>
      <c r="X16" s="47">
        <v>1</v>
      </c>
      <c r="Y16" s="162">
        <f t="shared" si="10"/>
        <v>1.5</v>
      </c>
      <c r="Z16" s="46">
        <v>0.23199999999999998</v>
      </c>
      <c r="AA16" s="42" t="str">
        <f t="shared" si="11"/>
        <v>13,5</v>
      </c>
      <c r="AB16" s="47">
        <v>1</v>
      </c>
      <c r="AC16" s="162">
        <f t="shared" si="12"/>
        <v>1.5</v>
      </c>
      <c r="AD16" s="48">
        <v>0.98759008101696433</v>
      </c>
      <c r="AE16" s="164">
        <f t="shared" si="13"/>
        <v>1.125</v>
      </c>
      <c r="AF16" s="43">
        <v>0</v>
      </c>
      <c r="AG16" s="162" t="str">
        <f t="shared" si="14"/>
        <v>0</v>
      </c>
      <c r="AH16" s="161">
        <v>1517.1179999999999</v>
      </c>
      <c r="AI16" s="42">
        <f t="shared" si="15"/>
        <v>9</v>
      </c>
      <c r="AJ16" s="43">
        <v>1</v>
      </c>
      <c r="AK16" s="39">
        <f t="shared" si="16"/>
        <v>1</v>
      </c>
      <c r="AL16" s="160">
        <f t="shared" si="17"/>
        <v>81.75</v>
      </c>
    </row>
    <row r="17" spans="1:38">
      <c r="A17" s="163" t="s">
        <v>476</v>
      </c>
      <c r="B17" s="43">
        <v>3.3</v>
      </c>
      <c r="C17" s="43">
        <f t="shared" si="0"/>
        <v>10.125</v>
      </c>
      <c r="D17" s="39">
        <v>1</v>
      </c>
      <c r="E17" s="39">
        <f t="shared" si="1"/>
        <v>1.5</v>
      </c>
      <c r="F17" s="43">
        <v>7.5</v>
      </c>
      <c r="G17" s="43">
        <f t="shared" si="2"/>
        <v>10.125</v>
      </c>
      <c r="H17" s="39">
        <v>1</v>
      </c>
      <c r="I17" s="39">
        <f t="shared" si="3"/>
        <v>1.5</v>
      </c>
      <c r="J17" s="46">
        <v>0.19040000000000001</v>
      </c>
      <c r="K17" s="42">
        <f t="shared" si="4"/>
        <v>5</v>
      </c>
      <c r="L17" s="161">
        <v>0.4206938342675352</v>
      </c>
      <c r="M17" s="42">
        <f t="shared" si="5"/>
        <v>3.75</v>
      </c>
      <c r="N17" s="43">
        <v>14.33</v>
      </c>
      <c r="O17" s="43">
        <f>IF(N17&gt;QUARTILE($N$4:$N$20,3),$B$54,IF(AND(N17&lt;=QUARTILE($N$4:$N$20,3),N17&gt;QUARTILE(N17:$N$20,2)),$B$53,IF(AND(N17&lt;=QUARTILE($N$4:$N$20,2),N17&gt;QUARTILE($N$4:$N$20,1)),$B$52,$B$51)))</f>
        <v>4.5</v>
      </c>
      <c r="P17" s="43">
        <v>0</v>
      </c>
      <c r="Q17" s="43" t="str">
        <f t="shared" si="6"/>
        <v>0</v>
      </c>
      <c r="R17" s="46">
        <v>7.4800000000000005E-2</v>
      </c>
      <c r="S17" s="42" t="str">
        <f t="shared" si="7"/>
        <v>6,75</v>
      </c>
      <c r="T17" s="47">
        <v>1</v>
      </c>
      <c r="U17" s="47">
        <f t="shared" si="8"/>
        <v>1</v>
      </c>
      <c r="V17" s="46">
        <v>3.15E-2</v>
      </c>
      <c r="W17" s="42" t="str">
        <f t="shared" si="9"/>
        <v>10,125</v>
      </c>
      <c r="X17" s="47">
        <v>1</v>
      </c>
      <c r="Y17" s="162">
        <f t="shared" si="10"/>
        <v>1.5</v>
      </c>
      <c r="Z17" s="46">
        <v>2.1299999999999999E-2</v>
      </c>
      <c r="AA17" s="42" t="str">
        <f t="shared" si="11"/>
        <v>10,125</v>
      </c>
      <c r="AB17" s="47">
        <v>1</v>
      </c>
      <c r="AC17" s="162">
        <f t="shared" si="12"/>
        <v>1.5</v>
      </c>
      <c r="AD17" s="48">
        <v>1.0325534199938833</v>
      </c>
      <c r="AE17" s="164">
        <f t="shared" si="13"/>
        <v>1.125</v>
      </c>
      <c r="AF17" s="43">
        <v>1</v>
      </c>
      <c r="AG17" s="162">
        <f t="shared" si="14"/>
        <v>0.5</v>
      </c>
      <c r="AH17" s="161">
        <v>9.2020063578538952E-2</v>
      </c>
      <c r="AI17" s="42">
        <f t="shared" si="15"/>
        <v>2.25</v>
      </c>
      <c r="AJ17" s="43">
        <v>1</v>
      </c>
      <c r="AK17" s="39">
        <f t="shared" si="16"/>
        <v>1</v>
      </c>
      <c r="AL17" s="160">
        <f t="shared" si="17"/>
        <v>72.375</v>
      </c>
    </row>
    <row r="18" spans="1:38">
      <c r="A18" s="163" t="s">
        <v>475</v>
      </c>
      <c r="B18" s="43">
        <v>6</v>
      </c>
      <c r="C18" s="43">
        <f t="shared" si="0"/>
        <v>10.125</v>
      </c>
      <c r="D18" s="39">
        <v>0</v>
      </c>
      <c r="E18" s="39" t="str">
        <f t="shared" si="1"/>
        <v>0</v>
      </c>
      <c r="F18" s="43">
        <v>26.9</v>
      </c>
      <c r="G18" s="43">
        <f t="shared" si="2"/>
        <v>10.125</v>
      </c>
      <c r="H18" s="39">
        <v>0</v>
      </c>
      <c r="I18" s="39" t="str">
        <f t="shared" si="3"/>
        <v>0</v>
      </c>
      <c r="J18" s="46">
        <v>8.0999999999999996E-3</v>
      </c>
      <c r="K18" s="42">
        <f t="shared" si="4"/>
        <v>1.25</v>
      </c>
      <c r="L18" s="161">
        <v>-0.17460049040331446</v>
      </c>
      <c r="M18" s="42">
        <f t="shared" si="5"/>
        <v>1.25</v>
      </c>
      <c r="N18" s="43">
        <v>55.73</v>
      </c>
      <c r="O18" s="43">
        <f>IF(N18&gt;QUARTILE($N$4:$N$20,3),$B$54,IF(AND(N18&lt;=QUARTILE($N$4:$N$20,3),N18&gt;QUARTILE(N18:$N$20,2)),$B$53,IF(AND(N18&lt;=QUARTILE($N$4:$N$20,2),N18&gt;QUARTILE($N$4:$N$20,1)),$B$52,$B$51)))</f>
        <v>3.375</v>
      </c>
      <c r="P18" s="43">
        <v>0</v>
      </c>
      <c r="Q18" s="43" t="str">
        <f t="shared" si="6"/>
        <v>0</v>
      </c>
      <c r="R18" s="46">
        <v>9.849999999999999E-2</v>
      </c>
      <c r="S18" s="42" t="str">
        <f t="shared" si="7"/>
        <v>6,75</v>
      </c>
      <c r="T18" s="47">
        <v>1</v>
      </c>
      <c r="U18" s="47">
        <f t="shared" si="8"/>
        <v>1</v>
      </c>
      <c r="V18" s="46">
        <v>5.6100000000000004E-2</v>
      </c>
      <c r="W18" s="42" t="str">
        <f t="shared" si="9"/>
        <v>10,125</v>
      </c>
      <c r="X18" s="47">
        <v>0</v>
      </c>
      <c r="Y18" s="162" t="str">
        <f t="shared" si="10"/>
        <v>0</v>
      </c>
      <c r="Z18" s="46">
        <v>3.44E-2</v>
      </c>
      <c r="AA18" s="42" t="str">
        <f t="shared" si="11"/>
        <v>10,125</v>
      </c>
      <c r="AB18" s="47">
        <v>1</v>
      </c>
      <c r="AC18" s="162">
        <f t="shared" si="12"/>
        <v>1.5</v>
      </c>
      <c r="AD18" s="48">
        <v>1.0575202503451264</v>
      </c>
      <c r="AE18" s="49">
        <f t="shared" si="13"/>
        <v>2.25</v>
      </c>
      <c r="AF18" s="43">
        <v>0</v>
      </c>
      <c r="AG18" s="162" t="str">
        <f t="shared" si="14"/>
        <v>0</v>
      </c>
      <c r="AH18" s="161">
        <v>0.32812589025300143</v>
      </c>
      <c r="AI18" s="42">
        <f t="shared" si="15"/>
        <v>6.75</v>
      </c>
      <c r="AJ18" s="43">
        <v>0</v>
      </c>
      <c r="AK18" s="39" t="str">
        <f t="shared" si="16"/>
        <v>0</v>
      </c>
      <c r="AL18" s="160">
        <f t="shared" si="17"/>
        <v>64.625</v>
      </c>
    </row>
    <row r="19" spans="1:38">
      <c r="A19" s="163" t="s">
        <v>474</v>
      </c>
      <c r="B19" s="43">
        <v>0.6</v>
      </c>
      <c r="C19" s="43">
        <f t="shared" si="0"/>
        <v>6.75</v>
      </c>
      <c r="D19" s="39">
        <v>1</v>
      </c>
      <c r="E19" s="39">
        <f t="shared" si="1"/>
        <v>1.5</v>
      </c>
      <c r="F19" s="43">
        <v>15.9</v>
      </c>
      <c r="G19" s="43">
        <f t="shared" si="2"/>
        <v>10.125</v>
      </c>
      <c r="H19" s="39">
        <v>1</v>
      </c>
      <c r="I19" s="39">
        <f t="shared" si="3"/>
        <v>1.5</v>
      </c>
      <c r="J19" s="46">
        <v>0.57399999999999995</v>
      </c>
      <c r="K19" s="42">
        <f t="shared" si="4"/>
        <v>5</v>
      </c>
      <c r="L19" s="161">
        <v>0.18511627906976744</v>
      </c>
      <c r="M19" s="42">
        <f t="shared" si="5"/>
        <v>2.5</v>
      </c>
      <c r="N19" s="43">
        <v>58.23</v>
      </c>
      <c r="O19" s="43">
        <f>IF(N19&gt;QUARTILE($N$4:$N$20,3),$B$54,IF(AND(N19&lt;=QUARTILE($N$4:$N$20,3),N19&gt;QUARTILE(N19:$N$20,2)),$B$53,IF(AND(N19&lt;=QUARTILE($N$4:$N$20,2),N19&gt;QUARTILE($N$4:$N$20,1)),$B$52,$B$51)))</f>
        <v>3.375</v>
      </c>
      <c r="P19" s="43">
        <v>1</v>
      </c>
      <c r="Q19" s="43">
        <f t="shared" si="6"/>
        <v>0.5</v>
      </c>
      <c r="R19" s="46">
        <v>2.53E-2</v>
      </c>
      <c r="S19" s="42" t="str">
        <f t="shared" si="7"/>
        <v>4,5</v>
      </c>
      <c r="T19" s="47">
        <v>1</v>
      </c>
      <c r="U19" s="47">
        <f t="shared" si="8"/>
        <v>1</v>
      </c>
      <c r="V19" s="46">
        <v>5.7599999999999998E-2</v>
      </c>
      <c r="W19" s="42" t="str">
        <f t="shared" si="9"/>
        <v>10,125</v>
      </c>
      <c r="X19" s="47">
        <v>0</v>
      </c>
      <c r="Y19" s="162" t="str">
        <f t="shared" si="10"/>
        <v>0</v>
      </c>
      <c r="Z19" s="46">
        <v>0.45</v>
      </c>
      <c r="AA19" s="42" t="str">
        <f t="shared" si="11"/>
        <v>13,5</v>
      </c>
      <c r="AB19" s="47">
        <v>1</v>
      </c>
      <c r="AC19" s="162">
        <f t="shared" si="12"/>
        <v>1.5</v>
      </c>
      <c r="AD19" s="48">
        <v>1.0611311624358093</v>
      </c>
      <c r="AE19" s="49">
        <f t="shared" si="13"/>
        <v>2.25</v>
      </c>
      <c r="AF19" s="43">
        <v>0</v>
      </c>
      <c r="AG19" s="162" t="str">
        <f t="shared" si="14"/>
        <v>0</v>
      </c>
      <c r="AH19" s="161">
        <v>8.2500795812990149E-2</v>
      </c>
      <c r="AI19" s="42">
        <f t="shared" si="15"/>
        <v>2.25</v>
      </c>
      <c r="AJ19" s="43">
        <v>0</v>
      </c>
      <c r="AK19" s="39" t="str">
        <f t="shared" si="16"/>
        <v>0</v>
      </c>
      <c r="AL19" s="160">
        <f t="shared" si="17"/>
        <v>66.375</v>
      </c>
    </row>
    <row r="20" spans="1:38" ht="15.75" thickBot="1">
      <c r="A20" s="159" t="s">
        <v>473</v>
      </c>
      <c r="B20" s="95">
        <v>7.2</v>
      </c>
      <c r="C20" s="43">
        <f t="shared" si="0"/>
        <v>13.5</v>
      </c>
      <c r="D20" s="152">
        <v>1</v>
      </c>
      <c r="E20" s="152">
        <f t="shared" si="1"/>
        <v>1.5</v>
      </c>
      <c r="F20" s="95">
        <v>8.4</v>
      </c>
      <c r="G20" s="43">
        <f t="shared" si="2"/>
        <v>10.125</v>
      </c>
      <c r="H20" s="152">
        <v>1</v>
      </c>
      <c r="I20" s="152">
        <f t="shared" si="3"/>
        <v>1.5</v>
      </c>
      <c r="J20" s="158">
        <v>8.2900000000000001E-2</v>
      </c>
      <c r="K20" s="153">
        <f t="shared" si="4"/>
        <v>3.75</v>
      </c>
      <c r="L20" s="154">
        <v>0.1455257104696891</v>
      </c>
      <c r="M20" s="153">
        <f t="shared" si="5"/>
        <v>2.5</v>
      </c>
      <c r="N20" s="95">
        <v>131.5</v>
      </c>
      <c r="O20" s="95">
        <f>IF(N20&gt;QUARTILE($N$4:$N$20,3),$B$54,IF(AND(N20&lt;=QUARTILE($N$4:$N$20,3),N20&gt;QUARTILE(N20:$N$20,2)),$B$53,IF(AND(N20&lt;=QUARTILE($N$4:$N$20,2),N20&gt;QUARTILE($N$4:$N$20,1)),$B$52,$B$51)))</f>
        <v>1.125</v>
      </c>
      <c r="P20" s="95">
        <v>0</v>
      </c>
      <c r="Q20" s="95" t="str">
        <f t="shared" si="6"/>
        <v>0</v>
      </c>
      <c r="R20" s="158">
        <v>0.13600000000000001</v>
      </c>
      <c r="S20" s="153" t="str">
        <f t="shared" si="7"/>
        <v>6,75</v>
      </c>
      <c r="T20" s="132">
        <v>1</v>
      </c>
      <c r="U20" s="132">
        <f t="shared" si="8"/>
        <v>1</v>
      </c>
      <c r="V20" s="158">
        <v>7.7600000000000002E-2</v>
      </c>
      <c r="W20" s="153" t="str">
        <f t="shared" si="9"/>
        <v>10,125</v>
      </c>
      <c r="X20" s="132">
        <v>1</v>
      </c>
      <c r="Y20" s="155">
        <f t="shared" si="10"/>
        <v>1.5</v>
      </c>
      <c r="Z20" s="158">
        <v>7.3700000000000002E-2</v>
      </c>
      <c r="AA20" s="153" t="str">
        <f t="shared" si="11"/>
        <v>13,5</v>
      </c>
      <c r="AB20" s="132">
        <v>1</v>
      </c>
      <c r="AC20" s="155">
        <f t="shared" si="12"/>
        <v>1.5</v>
      </c>
      <c r="AD20" s="157">
        <v>1.0840943552049116</v>
      </c>
      <c r="AE20" s="156">
        <f t="shared" si="13"/>
        <v>3.375</v>
      </c>
      <c r="AF20" s="95">
        <v>1</v>
      </c>
      <c r="AG20" s="155">
        <f t="shared" si="14"/>
        <v>0.5</v>
      </c>
      <c r="AH20" s="154">
        <v>0.16067749232742101</v>
      </c>
      <c r="AI20" s="153">
        <f t="shared" si="15"/>
        <v>4.5</v>
      </c>
      <c r="AJ20" s="95">
        <v>1</v>
      </c>
      <c r="AK20" s="152">
        <f t="shared" si="16"/>
        <v>1</v>
      </c>
      <c r="AL20" s="151">
        <f t="shared" si="17"/>
        <v>77.75</v>
      </c>
    </row>
    <row r="21" spans="1:38">
      <c r="A21" s="150"/>
      <c r="B21" s="14"/>
      <c r="C21" s="14"/>
      <c r="F21" s="14"/>
      <c r="G21" s="14"/>
      <c r="H21" s="3"/>
      <c r="I21" s="3"/>
      <c r="J21" s="12"/>
      <c r="N21" s="14"/>
      <c r="O21" s="14"/>
      <c r="R21" s="12"/>
      <c r="S21" s="12"/>
      <c r="V21" s="12"/>
      <c r="W21" s="12"/>
      <c r="Z21" s="12"/>
      <c r="AA21" s="12"/>
    </row>
    <row r="22" spans="1:38">
      <c r="A22" s="150"/>
      <c r="B22" s="14"/>
      <c r="C22" s="14"/>
      <c r="F22" s="14"/>
      <c r="G22" s="14"/>
      <c r="H22" s="3"/>
      <c r="I22" s="3"/>
      <c r="J22" s="19"/>
      <c r="N22" s="14"/>
      <c r="O22" s="14"/>
      <c r="R22" s="12"/>
      <c r="S22" s="12"/>
      <c r="V22" s="12"/>
      <c r="W22" s="12"/>
      <c r="Z22" s="12"/>
      <c r="AA22" s="12"/>
    </row>
    <row r="23" spans="1:38">
      <c r="H23" s="3"/>
      <c r="I23" s="3"/>
    </row>
    <row r="24" spans="1:38" ht="18.75">
      <c r="A24" s="17" t="s">
        <v>60</v>
      </c>
      <c r="B24" s="17" t="s">
        <v>59</v>
      </c>
      <c r="C24" s="17"/>
      <c r="D24" s="17"/>
      <c r="E24" s="17"/>
      <c r="F24" s="17" t="s">
        <v>58</v>
      </c>
      <c r="G24" s="17"/>
      <c r="H24" s="16"/>
      <c r="I24" s="16"/>
      <c r="J24" s="149"/>
      <c r="K24" s="16"/>
      <c r="L24" s="16" t="s">
        <v>57</v>
      </c>
      <c r="M24" s="16"/>
    </row>
    <row r="25" spans="1:38" ht="17.25">
      <c r="A25" s="11" t="s">
        <v>56</v>
      </c>
      <c r="B25" s="9">
        <v>13.5</v>
      </c>
      <c r="C25" s="9"/>
      <c r="D25" s="10"/>
      <c r="E25" s="10"/>
      <c r="F25" s="9">
        <f>L25*0.1</f>
        <v>1.5</v>
      </c>
      <c r="G25" s="9"/>
      <c r="H25" s="8"/>
      <c r="I25" s="8"/>
      <c r="J25" s="8"/>
      <c r="K25" s="8"/>
      <c r="L25" s="9">
        <v>15</v>
      </c>
      <c r="M25" s="9"/>
    </row>
    <row r="26" spans="1:38">
      <c r="A26" t="s">
        <v>225</v>
      </c>
      <c r="B26" s="3">
        <f>B25*0.25</f>
        <v>3.375</v>
      </c>
      <c r="C26" s="3"/>
      <c r="D26" s="3"/>
      <c r="E26" s="3"/>
      <c r="F26" s="3" t="s">
        <v>7</v>
      </c>
      <c r="G26" s="3"/>
      <c r="H26">
        <v>1.5</v>
      </c>
    </row>
    <row r="27" spans="1:38">
      <c r="A27" t="s">
        <v>224</v>
      </c>
      <c r="B27" s="3">
        <f>B25*0.5</f>
        <v>6.75</v>
      </c>
      <c r="C27" s="3"/>
      <c r="D27" s="3"/>
      <c r="E27" s="3"/>
      <c r="F27" s="3" t="s">
        <v>4</v>
      </c>
      <c r="G27" s="3"/>
      <c r="H27">
        <v>0</v>
      </c>
    </row>
    <row r="28" spans="1:38">
      <c r="A28" t="s">
        <v>223</v>
      </c>
      <c r="B28" s="3">
        <f>B25*0.75</f>
        <v>10.125</v>
      </c>
      <c r="C28" s="3"/>
      <c r="D28" s="3"/>
      <c r="E28" s="3"/>
      <c r="F28" s="3"/>
      <c r="G28" s="3"/>
    </row>
    <row r="29" spans="1:38">
      <c r="A29" t="s">
        <v>222</v>
      </c>
      <c r="B29" s="3">
        <f>B25*1</f>
        <v>13.5</v>
      </c>
      <c r="C29" s="3"/>
      <c r="D29" s="3"/>
      <c r="E29" s="3"/>
      <c r="F29" s="3"/>
      <c r="G29" s="3"/>
    </row>
    <row r="30" spans="1:38">
      <c r="B30" s="3"/>
      <c r="C30" s="3"/>
      <c r="D30" s="3"/>
      <c r="E30" s="3"/>
      <c r="F30" s="3"/>
      <c r="G30" s="3"/>
    </row>
    <row r="31" spans="1:38" ht="17.25">
      <c r="A31" s="11" t="s">
        <v>51</v>
      </c>
      <c r="B31" s="9">
        <v>13.5</v>
      </c>
      <c r="C31" s="3"/>
      <c r="D31" s="3"/>
      <c r="E31" s="3"/>
      <c r="F31" s="3"/>
      <c r="G31" s="3"/>
    </row>
    <row r="32" spans="1:38">
      <c r="A32" t="s">
        <v>50</v>
      </c>
      <c r="B32" s="3">
        <f>B31*0.25</f>
        <v>3.375</v>
      </c>
      <c r="C32" s="9"/>
      <c r="D32" s="10"/>
      <c r="E32" s="10"/>
      <c r="F32" s="9">
        <f>L32*0.1</f>
        <v>1.5</v>
      </c>
      <c r="G32" s="9"/>
      <c r="H32" s="8"/>
      <c r="I32" s="8"/>
      <c r="J32" s="8"/>
      <c r="K32" s="8"/>
      <c r="L32" s="9">
        <v>15</v>
      </c>
      <c r="M32" s="9"/>
    </row>
    <row r="33" spans="1:13">
      <c r="A33" t="s">
        <v>221</v>
      </c>
      <c r="B33" s="3">
        <f>B31*0.5</f>
        <v>6.75</v>
      </c>
      <c r="C33" s="3"/>
      <c r="D33" s="3"/>
      <c r="E33" s="3"/>
      <c r="F33" s="3" t="s">
        <v>7</v>
      </c>
      <c r="G33" s="3"/>
      <c r="H33">
        <v>1.5</v>
      </c>
    </row>
    <row r="34" spans="1:13">
      <c r="A34" t="s">
        <v>220</v>
      </c>
      <c r="B34" s="3">
        <f>B31*0.75</f>
        <v>10.125</v>
      </c>
      <c r="C34" s="3"/>
      <c r="D34" s="3"/>
      <c r="E34" s="3"/>
      <c r="F34" s="3" t="s">
        <v>4</v>
      </c>
      <c r="G34" s="3"/>
      <c r="H34">
        <v>0</v>
      </c>
    </row>
    <row r="35" spans="1:13">
      <c r="A35" t="s">
        <v>219</v>
      </c>
      <c r="B35" s="3">
        <f>B31*1</f>
        <v>13.5</v>
      </c>
      <c r="C35" s="3"/>
      <c r="D35" s="3"/>
      <c r="E35" s="3"/>
      <c r="F35" s="3"/>
      <c r="G35" s="3"/>
    </row>
    <row r="36" spans="1:13">
      <c r="B36" s="3"/>
      <c r="C36" s="3"/>
      <c r="D36" s="3"/>
      <c r="E36" s="3"/>
      <c r="F36" s="3"/>
      <c r="G36" s="3"/>
    </row>
    <row r="37" spans="1:13">
      <c r="B37" s="3"/>
      <c r="C37" s="3"/>
      <c r="D37" s="3"/>
      <c r="E37" s="3"/>
      <c r="F37" s="3"/>
      <c r="G37" s="3"/>
    </row>
    <row r="38" spans="1:13" ht="17.25">
      <c r="A38" s="11" t="s">
        <v>46</v>
      </c>
      <c r="B38" s="9">
        <v>5</v>
      </c>
      <c r="C38" s="5"/>
      <c r="D38" s="3"/>
      <c r="E38" s="3"/>
      <c r="F38" s="3"/>
      <c r="G38" s="3"/>
      <c r="L38" s="2">
        <v>5</v>
      </c>
      <c r="M38" s="2"/>
    </row>
    <row r="39" spans="1:13">
      <c r="A39" t="s">
        <v>472</v>
      </c>
      <c r="B39" s="3">
        <f>B38*0.25</f>
        <v>1.25</v>
      </c>
      <c r="C39" s="3"/>
      <c r="D39" s="3" t="s">
        <v>8</v>
      </c>
      <c r="E39" s="54">
        <f>QUARTILE(J4:J20,1)</f>
        <v>1.0999999999999999E-2</v>
      </c>
      <c r="F39" s="3"/>
      <c r="G39" s="3"/>
    </row>
    <row r="40" spans="1:13">
      <c r="A40" t="s">
        <v>471</v>
      </c>
      <c r="B40" s="3">
        <f>B38*0.5</f>
        <v>2.5</v>
      </c>
      <c r="C40" s="3"/>
      <c r="D40" s="3" t="s">
        <v>5</v>
      </c>
      <c r="E40" s="54">
        <f>QUARTILE(J4:J20,2)</f>
        <v>5.2200000000000003E-2</v>
      </c>
      <c r="F40" s="3"/>
      <c r="G40" s="3"/>
    </row>
    <row r="41" spans="1:13">
      <c r="A41" t="s">
        <v>470</v>
      </c>
      <c r="B41" s="3">
        <f>B38*0.75</f>
        <v>3.75</v>
      </c>
      <c r="C41" s="3"/>
      <c r="D41" s="3" t="s">
        <v>2</v>
      </c>
      <c r="E41" s="54">
        <f>QUARTILE(J4:J20,3)</f>
        <v>0.12280000000000001</v>
      </c>
      <c r="F41" s="3"/>
      <c r="G41" s="3"/>
    </row>
    <row r="42" spans="1:13">
      <c r="A42" t="s">
        <v>469</v>
      </c>
      <c r="B42" s="3">
        <f>B38*1</f>
        <v>5</v>
      </c>
      <c r="C42" s="3"/>
      <c r="D42" s="3" t="s">
        <v>383</v>
      </c>
      <c r="E42" s="3"/>
      <c r="F42" s="3"/>
      <c r="G42" s="3"/>
    </row>
    <row r="43" spans="1:13">
      <c r="B43" s="3"/>
      <c r="C43" s="3"/>
      <c r="D43" s="3"/>
      <c r="E43" s="3"/>
      <c r="F43" s="3"/>
      <c r="G43" s="3"/>
    </row>
    <row r="44" spans="1:13" ht="17.25">
      <c r="A44" s="11" t="s">
        <v>41</v>
      </c>
      <c r="B44" s="9">
        <v>5</v>
      </c>
      <c r="C44" s="5"/>
      <c r="D44" s="3"/>
      <c r="E44" s="3"/>
      <c r="F44" s="3"/>
      <c r="G44" s="3"/>
      <c r="L44" s="2">
        <v>5</v>
      </c>
      <c r="M44" s="2"/>
    </row>
    <row r="45" spans="1:13">
      <c r="A45" t="s">
        <v>468</v>
      </c>
      <c r="B45" s="3">
        <f>B44*0.25</f>
        <v>1.25</v>
      </c>
      <c r="C45" s="3"/>
      <c r="D45" s="3" t="s">
        <v>8</v>
      </c>
      <c r="E45" s="54">
        <f>QUARTILE(L4:L20,1)</f>
        <v>-0.17460049040331446</v>
      </c>
      <c r="F45" s="3"/>
      <c r="G45" s="3"/>
    </row>
    <row r="46" spans="1:13">
      <c r="A46" t="s">
        <v>467</v>
      </c>
      <c r="B46" s="3">
        <f>B44*0.5</f>
        <v>2.5</v>
      </c>
      <c r="C46" s="3"/>
      <c r="D46" s="3" t="s">
        <v>5</v>
      </c>
      <c r="E46" s="54">
        <f>QUARTILE(L4:L20,2)</f>
        <v>0.29930851005353826</v>
      </c>
      <c r="F46" s="3"/>
      <c r="G46" s="3"/>
    </row>
    <row r="47" spans="1:13">
      <c r="A47" t="s">
        <v>466</v>
      </c>
      <c r="B47" s="3">
        <f>B44*0.75</f>
        <v>3.75</v>
      </c>
      <c r="C47" s="3"/>
      <c r="D47" s="3" t="s">
        <v>2</v>
      </c>
      <c r="E47" s="54">
        <f>QUARTILE(L4:L20,3)</f>
        <v>0.85119676610950223</v>
      </c>
      <c r="F47" s="3"/>
      <c r="G47" s="3"/>
    </row>
    <row r="48" spans="1:13">
      <c r="A48" t="s">
        <v>465</v>
      </c>
      <c r="B48" s="3">
        <f>B44*1</f>
        <v>5</v>
      </c>
      <c r="C48" s="3"/>
      <c r="D48" s="3" t="s">
        <v>383</v>
      </c>
      <c r="E48" s="3"/>
      <c r="F48" s="3"/>
      <c r="G48" s="3"/>
    </row>
    <row r="49" spans="1:13">
      <c r="B49" s="3"/>
      <c r="C49" s="3"/>
      <c r="D49" s="3"/>
      <c r="E49" s="3"/>
      <c r="F49" s="3"/>
      <c r="G49" s="3"/>
    </row>
    <row r="50" spans="1:13" ht="17.25">
      <c r="A50" s="6" t="s">
        <v>36</v>
      </c>
      <c r="B50" s="9">
        <v>4.5</v>
      </c>
      <c r="C50" s="5"/>
      <c r="D50" s="5"/>
      <c r="E50" s="5"/>
      <c r="F50" s="5">
        <f>L50*0.1</f>
        <v>0.5</v>
      </c>
      <c r="G50" s="5"/>
      <c r="H50" s="7"/>
      <c r="I50" s="7"/>
      <c r="J50" s="7"/>
      <c r="K50" s="7"/>
      <c r="L50" s="5">
        <v>5</v>
      </c>
      <c r="M50" s="5"/>
    </row>
    <row r="51" spans="1:13">
      <c r="A51" t="s">
        <v>464</v>
      </c>
      <c r="B51" s="3">
        <v>4.5</v>
      </c>
      <c r="C51" s="3"/>
      <c r="D51" s="3" t="s">
        <v>8</v>
      </c>
      <c r="E51" s="3">
        <f>QUARTILE(N4:N20,1)</f>
        <v>40.68</v>
      </c>
      <c r="F51" s="3" t="s">
        <v>7</v>
      </c>
      <c r="G51" s="3"/>
      <c r="H51">
        <v>0.5</v>
      </c>
    </row>
    <row r="52" spans="1:13">
      <c r="A52" t="s">
        <v>463</v>
      </c>
      <c r="B52" s="3">
        <v>3.375</v>
      </c>
      <c r="C52" s="3"/>
      <c r="D52" s="3" t="s">
        <v>5</v>
      </c>
      <c r="E52" s="3">
        <f>QUARTILE(N4:N20,2)</f>
        <v>76.260000000000005</v>
      </c>
      <c r="F52" s="3" t="s">
        <v>4</v>
      </c>
      <c r="G52" s="3"/>
      <c r="H52">
        <v>0</v>
      </c>
    </row>
    <row r="53" spans="1:13">
      <c r="A53" t="s">
        <v>462</v>
      </c>
      <c r="B53" s="3">
        <v>2.25</v>
      </c>
      <c r="C53" s="3"/>
      <c r="D53" s="3" t="s">
        <v>2</v>
      </c>
      <c r="E53" s="3">
        <f>QUARTILE(N4:N20,3)</f>
        <v>124.18</v>
      </c>
      <c r="F53" s="3"/>
      <c r="G53" s="3"/>
    </row>
    <row r="54" spans="1:13">
      <c r="A54" t="s">
        <v>461</v>
      </c>
      <c r="B54" s="3">
        <v>1.125</v>
      </c>
      <c r="C54" s="3"/>
      <c r="D54" s="3" t="s">
        <v>383</v>
      </c>
      <c r="E54" s="3"/>
      <c r="F54" s="3"/>
      <c r="G54" s="3"/>
    </row>
    <row r="55" spans="1:13">
      <c r="B55" s="3"/>
      <c r="C55" s="3"/>
      <c r="D55" s="3"/>
      <c r="E55" s="3"/>
      <c r="F55" s="3"/>
      <c r="G55" s="3"/>
    </row>
    <row r="56" spans="1:13" ht="17.25">
      <c r="A56" s="6" t="s">
        <v>31</v>
      </c>
      <c r="B56" s="9">
        <v>9</v>
      </c>
      <c r="C56" s="5"/>
      <c r="D56" s="5"/>
      <c r="E56" s="5"/>
      <c r="F56" s="5">
        <f>L56*0.1</f>
        <v>1</v>
      </c>
      <c r="G56" s="5"/>
      <c r="H56" s="7"/>
      <c r="I56" s="7"/>
      <c r="J56" s="7"/>
      <c r="K56" s="7"/>
      <c r="L56" s="5">
        <v>10</v>
      </c>
      <c r="M56" s="5"/>
    </row>
    <row r="57" spans="1:13">
      <c r="A57" t="s">
        <v>460</v>
      </c>
      <c r="B57" s="3">
        <f>B56*0.25</f>
        <v>2.25</v>
      </c>
      <c r="C57" s="3"/>
      <c r="D57" s="3"/>
      <c r="E57" s="54"/>
      <c r="F57" s="3" t="s">
        <v>7</v>
      </c>
      <c r="G57" s="3"/>
      <c r="H57">
        <v>1</v>
      </c>
    </row>
    <row r="58" spans="1:13">
      <c r="A58" t="s">
        <v>459</v>
      </c>
      <c r="B58" s="3">
        <f>B56*0.5</f>
        <v>4.5</v>
      </c>
      <c r="C58" s="3"/>
      <c r="D58" s="3"/>
      <c r="E58" s="54"/>
      <c r="F58" s="3" t="s">
        <v>4</v>
      </c>
      <c r="G58" s="3"/>
      <c r="H58">
        <v>0</v>
      </c>
    </row>
    <row r="59" spans="1:13">
      <c r="A59" t="s">
        <v>458</v>
      </c>
      <c r="B59" s="3">
        <f>B56*0.75</f>
        <v>6.75</v>
      </c>
      <c r="C59" s="3"/>
      <c r="D59" s="3"/>
      <c r="E59" s="54"/>
      <c r="F59" s="3"/>
      <c r="G59" s="3"/>
    </row>
    <row r="60" spans="1:13">
      <c r="A60" t="s">
        <v>457</v>
      </c>
      <c r="B60" s="3">
        <f>B56*1</f>
        <v>9</v>
      </c>
      <c r="C60" s="3"/>
      <c r="D60" s="3"/>
      <c r="E60" s="3"/>
      <c r="F60" s="3"/>
      <c r="G60" s="3"/>
    </row>
    <row r="61" spans="1:13">
      <c r="B61" s="3"/>
      <c r="C61" s="3"/>
      <c r="D61" s="3"/>
      <c r="E61" s="3"/>
      <c r="F61" s="3"/>
      <c r="G61" s="3"/>
    </row>
    <row r="62" spans="1:13" ht="17.25">
      <c r="A62" s="6" t="s">
        <v>26</v>
      </c>
      <c r="B62" s="9">
        <v>13.5</v>
      </c>
      <c r="C62" s="5"/>
      <c r="D62" s="5"/>
      <c r="E62" s="5"/>
      <c r="F62" s="5">
        <f>L62*0.1</f>
        <v>1.5</v>
      </c>
      <c r="G62" s="5"/>
      <c r="H62" s="7"/>
      <c r="I62" s="7"/>
      <c r="J62" s="7"/>
      <c r="K62" s="7"/>
      <c r="L62" s="5">
        <v>15</v>
      </c>
      <c r="M62" s="5"/>
    </row>
    <row r="63" spans="1:13">
      <c r="A63" t="s">
        <v>456</v>
      </c>
      <c r="B63" s="3">
        <f>B62*0.25</f>
        <v>3.375</v>
      </c>
      <c r="C63" s="3"/>
      <c r="D63" s="3"/>
      <c r="E63" s="54"/>
      <c r="F63" s="3" t="s">
        <v>7</v>
      </c>
      <c r="G63" s="3"/>
      <c r="H63">
        <v>1.5</v>
      </c>
    </row>
    <row r="64" spans="1:13">
      <c r="A64" t="s">
        <v>455</v>
      </c>
      <c r="B64" s="3">
        <f>B62*0.5</f>
        <v>6.75</v>
      </c>
      <c r="C64" s="3"/>
      <c r="D64" s="3"/>
      <c r="E64" s="54"/>
      <c r="F64" s="3" t="s">
        <v>4</v>
      </c>
      <c r="G64" s="3"/>
      <c r="H64">
        <v>0</v>
      </c>
    </row>
    <row r="65" spans="1:13">
      <c r="A65" t="s">
        <v>200</v>
      </c>
      <c r="B65" s="3">
        <f>B62*0.75</f>
        <v>10.125</v>
      </c>
      <c r="C65" s="3"/>
      <c r="D65" s="3"/>
      <c r="E65" s="54"/>
      <c r="F65" s="3"/>
      <c r="G65" s="3"/>
    </row>
    <row r="66" spans="1:13">
      <c r="A66" t="s">
        <v>199</v>
      </c>
      <c r="B66" s="3">
        <f>B62*1</f>
        <v>13.5</v>
      </c>
      <c r="C66" s="3"/>
      <c r="D66" s="3"/>
      <c r="E66" s="3"/>
      <c r="F66" s="3"/>
      <c r="G66" s="3"/>
    </row>
    <row r="67" spans="1:13">
      <c r="B67" s="3"/>
      <c r="C67" s="3"/>
      <c r="D67" s="3"/>
      <c r="E67" s="3"/>
      <c r="F67" s="3"/>
      <c r="G67" s="3"/>
    </row>
    <row r="68" spans="1:13" ht="17.25">
      <c r="A68" s="6" t="s">
        <v>21</v>
      </c>
      <c r="B68" s="9">
        <v>13.5</v>
      </c>
      <c r="C68" s="5"/>
      <c r="D68" s="5"/>
      <c r="E68" s="5"/>
      <c r="F68" s="5">
        <f>L68*0.1</f>
        <v>1.5</v>
      </c>
      <c r="G68" s="5"/>
      <c r="H68" s="7"/>
      <c r="I68" s="7"/>
      <c r="J68" s="7"/>
      <c r="K68" s="7"/>
      <c r="L68" s="5">
        <v>15</v>
      </c>
      <c r="M68" s="5"/>
    </row>
    <row r="69" spans="1:13">
      <c r="A69" t="s">
        <v>454</v>
      </c>
      <c r="B69" s="3">
        <f>B68*0.25</f>
        <v>3.375</v>
      </c>
      <c r="C69" s="3"/>
      <c r="D69" s="3"/>
      <c r="E69" s="54"/>
      <c r="F69" s="3" t="s">
        <v>7</v>
      </c>
      <c r="G69" s="3"/>
      <c r="H69">
        <v>1.5</v>
      </c>
    </row>
    <row r="70" spans="1:13">
      <c r="A70" t="s">
        <v>453</v>
      </c>
      <c r="B70" s="3">
        <f>B68*0.5</f>
        <v>6.75</v>
      </c>
      <c r="C70" s="3"/>
      <c r="D70" s="3"/>
      <c r="E70" s="54"/>
      <c r="F70" s="3" t="s">
        <v>4</v>
      </c>
      <c r="G70" s="3"/>
      <c r="H70">
        <v>0</v>
      </c>
    </row>
    <row r="71" spans="1:13">
      <c r="A71" t="s">
        <v>196</v>
      </c>
      <c r="B71" s="3">
        <f>B68*0.75</f>
        <v>10.125</v>
      </c>
      <c r="C71" s="3"/>
      <c r="D71" s="3"/>
      <c r="E71" s="54"/>
      <c r="F71" s="3"/>
      <c r="G71" s="3"/>
    </row>
    <row r="72" spans="1:13">
      <c r="A72" t="s">
        <v>195</v>
      </c>
      <c r="B72" s="3">
        <f>B68*1</f>
        <v>13.5</v>
      </c>
      <c r="C72" s="3"/>
      <c r="D72" s="3"/>
      <c r="E72" s="3"/>
      <c r="F72" s="3"/>
      <c r="G72" s="3"/>
    </row>
    <row r="73" spans="1:13">
      <c r="B73" s="3"/>
      <c r="C73" s="3"/>
      <c r="D73" s="3"/>
      <c r="E73" s="3"/>
      <c r="F73" s="3"/>
      <c r="G73" s="3"/>
    </row>
    <row r="74" spans="1:13" ht="17.25">
      <c r="A74" s="6" t="s">
        <v>16</v>
      </c>
      <c r="B74" s="9">
        <v>4.5</v>
      </c>
      <c r="C74" s="5"/>
      <c r="D74" s="5"/>
      <c r="E74" s="5"/>
      <c r="F74" s="5"/>
      <c r="G74" s="5"/>
      <c r="H74" s="7">
        <f>L74*0.1</f>
        <v>0.5</v>
      </c>
      <c r="I74" s="7"/>
      <c r="J74" s="7"/>
      <c r="K74" s="7"/>
      <c r="L74" s="5">
        <v>5</v>
      </c>
      <c r="M74" s="5"/>
    </row>
    <row r="75" spans="1:13">
      <c r="A75" t="s">
        <v>452</v>
      </c>
      <c r="B75" s="3">
        <f>B74*0.25</f>
        <v>1.125</v>
      </c>
      <c r="C75" s="3"/>
      <c r="D75" s="3" t="s">
        <v>8</v>
      </c>
      <c r="E75" s="3">
        <f>QUARTILE(AD4:AD20,1)</f>
        <v>1.0325534199938833</v>
      </c>
      <c r="F75" s="3"/>
      <c r="G75" s="3"/>
      <c r="H75" s="3" t="s">
        <v>7</v>
      </c>
      <c r="I75" s="3"/>
      <c r="J75">
        <v>0.5</v>
      </c>
    </row>
    <row r="76" spans="1:13">
      <c r="A76" t="s">
        <v>451</v>
      </c>
      <c r="B76" s="3">
        <f>B74*0.5</f>
        <v>2.25</v>
      </c>
      <c r="C76" s="3"/>
      <c r="D76" s="3" t="s">
        <v>5</v>
      </c>
      <c r="E76" s="3">
        <f>QUARTILE(AD4:AD20,2)</f>
        <v>1.0726161651101118</v>
      </c>
      <c r="F76" s="3"/>
      <c r="G76" s="3"/>
      <c r="H76" s="3" t="s">
        <v>4</v>
      </c>
      <c r="I76" s="3"/>
      <c r="J76">
        <v>0</v>
      </c>
    </row>
    <row r="77" spans="1:13">
      <c r="A77" t="s">
        <v>450</v>
      </c>
      <c r="B77" s="3">
        <f>B74*0.75</f>
        <v>3.375</v>
      </c>
      <c r="C77" s="3"/>
      <c r="D77" s="3" t="s">
        <v>2</v>
      </c>
      <c r="E77" s="3">
        <f>QUARTILE(AD4:AD20,3)</f>
        <v>1.0929167158281636</v>
      </c>
      <c r="F77" s="3"/>
      <c r="G77" s="3"/>
    </row>
    <row r="78" spans="1:13">
      <c r="A78" t="s">
        <v>449</v>
      </c>
      <c r="B78" s="3">
        <f>B74*1</f>
        <v>4.5</v>
      </c>
      <c r="C78" s="3"/>
      <c r="D78" s="3" t="s">
        <v>383</v>
      </c>
      <c r="E78" s="3"/>
      <c r="F78" s="3"/>
      <c r="G78" s="3"/>
    </row>
    <row r="79" spans="1:13">
      <c r="B79" s="3"/>
      <c r="C79" s="3"/>
      <c r="D79" s="3"/>
      <c r="E79" s="3"/>
      <c r="F79" s="3"/>
      <c r="G79" s="3"/>
    </row>
    <row r="80" spans="1:13" ht="17.25">
      <c r="A80" s="6" t="s">
        <v>11</v>
      </c>
      <c r="B80" s="9">
        <v>9</v>
      </c>
      <c r="C80" s="5"/>
      <c r="D80" s="5"/>
      <c r="E80" s="5"/>
      <c r="F80" s="5"/>
      <c r="G80" s="5"/>
      <c r="H80" s="5">
        <f>L80*0.1</f>
        <v>1</v>
      </c>
      <c r="I80" s="5"/>
      <c r="J80" s="5"/>
      <c r="K80" s="5"/>
      <c r="L80" s="5">
        <v>10</v>
      </c>
      <c r="M80" s="5"/>
    </row>
    <row r="81" spans="1:12">
      <c r="A81" t="s">
        <v>448</v>
      </c>
      <c r="B81" s="3">
        <f>B80*0.25</f>
        <v>2.25</v>
      </c>
      <c r="D81" s="3" t="s">
        <v>8</v>
      </c>
      <c r="E81" s="148">
        <f>QUARTILE(AH4:AH20,1)</f>
        <v>9.9624529989118374E-2</v>
      </c>
      <c r="F81" s="3"/>
      <c r="G81" s="3"/>
      <c r="H81" s="3" t="s">
        <v>7</v>
      </c>
      <c r="I81" s="3"/>
      <c r="J81">
        <v>1</v>
      </c>
    </row>
    <row r="82" spans="1:12">
      <c r="A82" t="s">
        <v>447</v>
      </c>
      <c r="B82" s="3">
        <f>B80*0.5</f>
        <v>4.5</v>
      </c>
      <c r="D82" s="3" t="s">
        <v>5</v>
      </c>
      <c r="E82" s="148">
        <f>QUARTILE(AH4:AH20,2)</f>
        <v>0.31184015033572665</v>
      </c>
      <c r="F82" s="3"/>
      <c r="G82" s="3"/>
      <c r="H82" s="3" t="s">
        <v>4</v>
      </c>
      <c r="I82" s="3"/>
      <c r="J82">
        <v>0</v>
      </c>
    </row>
    <row r="83" spans="1:12">
      <c r="A83" t="s">
        <v>446</v>
      </c>
      <c r="B83" s="3">
        <f>B80*0.75</f>
        <v>6.75</v>
      </c>
      <c r="D83" s="3" t="s">
        <v>2</v>
      </c>
      <c r="E83" s="148">
        <f>QUARTILE(AH4:AH20,3)</f>
        <v>0.52097230445365439</v>
      </c>
      <c r="F83" s="3"/>
      <c r="G83" s="3"/>
    </row>
    <row r="84" spans="1:12">
      <c r="A84" t="s">
        <v>445</v>
      </c>
      <c r="B84" s="3">
        <f>B80*1</f>
        <v>9</v>
      </c>
      <c r="D84" s="3" t="s">
        <v>383</v>
      </c>
      <c r="F84" s="3"/>
      <c r="G84" s="3"/>
    </row>
    <row r="85" spans="1:12">
      <c r="B85" s="3"/>
    </row>
    <row r="86" spans="1:12" ht="18.75">
      <c r="B86" s="147"/>
      <c r="C86" s="147"/>
      <c r="D86" s="147" t="s">
        <v>918</v>
      </c>
      <c r="E86" s="147"/>
      <c r="F86" s="147"/>
      <c r="G86" s="147"/>
      <c r="H86" s="147"/>
      <c r="I86" s="147"/>
      <c r="J86" s="147"/>
      <c r="K86" s="147"/>
      <c r="L86" s="146">
        <f>SUM(L25:L82)</f>
        <v>100</v>
      </c>
    </row>
  </sheetData>
  <mergeCells count="1">
    <mergeCell ref="A1:AL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L86"/>
  <sheetViews>
    <sheetView topLeftCell="A23" zoomScale="90" zoomScaleNormal="90" workbookViewId="0">
      <selection activeCell="AL4" sqref="AL4:AL20"/>
    </sheetView>
  </sheetViews>
  <sheetFormatPr defaultRowHeight="15"/>
  <cols>
    <col min="1" max="1" width="41.7109375" bestFit="1" customWidth="1"/>
    <col min="4" max="4" width="19" customWidth="1"/>
    <col min="10" max="10" width="14.85546875" bestFit="1" customWidth="1"/>
    <col min="12" max="12" width="22.7109375" customWidth="1"/>
    <col min="14" max="14" width="17.85546875" customWidth="1"/>
    <col min="18" max="18" width="16.5703125" customWidth="1"/>
    <col min="22" max="22" width="23.7109375" customWidth="1"/>
    <col min="26" max="26" width="16.28515625" customWidth="1"/>
    <col min="30" max="30" width="16" customWidth="1"/>
    <col min="34" max="34" width="10.7109375" bestFit="1" customWidth="1"/>
  </cols>
  <sheetData>
    <row r="1" spans="1:38" ht="15" customHeight="1">
      <c r="A1" s="522" t="s">
        <v>512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  <c r="P1" s="523"/>
      <c r="Q1" s="523"/>
      <c r="R1" s="523"/>
      <c r="S1" s="523"/>
      <c r="T1" s="523"/>
      <c r="U1" s="523"/>
      <c r="V1" s="523"/>
      <c r="W1" s="523"/>
      <c r="X1" s="523"/>
      <c r="Y1" s="523"/>
      <c r="Z1" s="523"/>
      <c r="AA1" s="523"/>
      <c r="AB1" s="523"/>
      <c r="AC1" s="523"/>
      <c r="AD1" s="523"/>
      <c r="AE1" s="523"/>
      <c r="AF1" s="523"/>
      <c r="AG1" s="523"/>
      <c r="AH1" s="523"/>
      <c r="AI1" s="523"/>
      <c r="AJ1" s="523"/>
      <c r="AK1" s="523"/>
      <c r="AL1" s="524"/>
    </row>
    <row r="2" spans="1:38" ht="15" customHeight="1" thickBot="1">
      <c r="A2" s="525"/>
      <c r="B2" s="526"/>
      <c r="C2" s="526"/>
      <c r="D2" s="526"/>
      <c r="E2" s="526"/>
      <c r="F2" s="526"/>
      <c r="G2" s="526"/>
      <c r="H2" s="526"/>
      <c r="I2" s="526"/>
      <c r="J2" s="526"/>
      <c r="K2" s="526"/>
      <c r="L2" s="526"/>
      <c r="M2" s="526"/>
      <c r="N2" s="526"/>
      <c r="O2" s="526"/>
      <c r="P2" s="526"/>
      <c r="Q2" s="526"/>
      <c r="R2" s="526"/>
      <c r="S2" s="526"/>
      <c r="T2" s="526"/>
      <c r="U2" s="526"/>
      <c r="V2" s="526"/>
      <c r="W2" s="526"/>
      <c r="X2" s="526"/>
      <c r="Y2" s="526"/>
      <c r="Z2" s="526"/>
      <c r="AA2" s="526"/>
      <c r="AB2" s="526"/>
      <c r="AC2" s="526"/>
      <c r="AD2" s="526"/>
      <c r="AE2" s="526"/>
      <c r="AF2" s="526"/>
      <c r="AG2" s="526"/>
      <c r="AH2" s="526"/>
      <c r="AI2" s="526"/>
      <c r="AJ2" s="526"/>
      <c r="AK2" s="526"/>
      <c r="AL2" s="527"/>
    </row>
    <row r="3" spans="1:38" ht="45.75" thickBot="1">
      <c r="A3" s="212" t="s">
        <v>97</v>
      </c>
      <c r="B3" s="211" t="s">
        <v>96</v>
      </c>
      <c r="C3" s="208" t="s">
        <v>93</v>
      </c>
      <c r="D3" s="208" t="s">
        <v>95</v>
      </c>
      <c r="E3" s="208" t="s">
        <v>93</v>
      </c>
      <c r="F3" s="210" t="s">
        <v>94</v>
      </c>
      <c r="G3" s="208" t="s">
        <v>83</v>
      </c>
      <c r="H3" s="208" t="s">
        <v>84</v>
      </c>
      <c r="I3" s="208" t="s">
        <v>93</v>
      </c>
      <c r="J3" s="210" t="s">
        <v>92</v>
      </c>
      <c r="K3" s="208" t="s">
        <v>83</v>
      </c>
      <c r="L3" s="209" t="s">
        <v>91</v>
      </c>
      <c r="M3" s="208" t="s">
        <v>83</v>
      </c>
      <c r="N3" s="208" t="s">
        <v>90</v>
      </c>
      <c r="O3" s="208" t="s">
        <v>83</v>
      </c>
      <c r="P3" s="208" t="s">
        <v>84</v>
      </c>
      <c r="Q3" s="208" t="s">
        <v>83</v>
      </c>
      <c r="R3" s="208" t="s">
        <v>89</v>
      </c>
      <c r="S3" s="208" t="s">
        <v>83</v>
      </c>
      <c r="T3" s="208" t="s">
        <v>84</v>
      </c>
      <c r="U3" s="208" t="s">
        <v>83</v>
      </c>
      <c r="V3" s="208" t="s">
        <v>88</v>
      </c>
      <c r="W3" s="208" t="s">
        <v>83</v>
      </c>
      <c r="X3" s="208" t="s">
        <v>84</v>
      </c>
      <c r="Y3" s="208" t="s">
        <v>83</v>
      </c>
      <c r="Z3" s="208" t="s">
        <v>87</v>
      </c>
      <c r="AA3" s="208" t="s">
        <v>83</v>
      </c>
      <c r="AB3" s="208" t="s">
        <v>84</v>
      </c>
      <c r="AC3" s="208" t="s">
        <v>83</v>
      </c>
      <c r="AD3" s="208" t="s">
        <v>86</v>
      </c>
      <c r="AE3" s="208" t="s">
        <v>83</v>
      </c>
      <c r="AF3" s="208" t="s">
        <v>84</v>
      </c>
      <c r="AG3" s="208" t="s">
        <v>83</v>
      </c>
      <c r="AH3" s="208" t="s">
        <v>85</v>
      </c>
      <c r="AI3" s="208" t="s">
        <v>83</v>
      </c>
      <c r="AJ3" s="208" t="s">
        <v>84</v>
      </c>
      <c r="AK3" s="207" t="s">
        <v>83</v>
      </c>
      <c r="AL3" s="206" t="s">
        <v>82</v>
      </c>
    </row>
    <row r="4" spans="1:38">
      <c r="A4" s="205" t="s">
        <v>489</v>
      </c>
      <c r="B4" s="204">
        <v>14.1</v>
      </c>
      <c r="C4" s="177">
        <f t="shared" ref="C4:C20" si="0">IF(B3&gt;6.2,$B$29,IF(B3&lt;=-4.8,$B$26,IF(AND(B3&gt;-4.8,B3&lt;=1.1),$B$27,$B$28)))</f>
        <v>13.5</v>
      </c>
      <c r="D4" s="177">
        <v>1</v>
      </c>
      <c r="E4" s="195">
        <f t="shared" ref="E4:E20" si="1">IF(D4=0,"0",$H$26)</f>
        <v>1.5</v>
      </c>
      <c r="F4" s="177">
        <v>43.3</v>
      </c>
      <c r="G4" s="107">
        <f t="shared" ref="G4:G20" si="2">IF(F4&gt;34.3,$B$35,IF(F4&lt;=0,$B$32,IF(AND(F4&gt;0,F4&lt;=6),$B$33,$B$34)))</f>
        <v>13.5</v>
      </c>
      <c r="H4" s="195">
        <v>1</v>
      </c>
      <c r="I4" s="195">
        <f t="shared" ref="I4:I20" si="3">IF(H4=0,"0",$H$33)</f>
        <v>1.5</v>
      </c>
      <c r="J4" s="197">
        <v>-0.14779999999999999</v>
      </c>
      <c r="K4" s="196">
        <f t="shared" ref="K4:K20" si="4">IF(J4&gt;QUARTILE($J$4:$J$20,3),$B$42,IF(AND(J4&lt;=QUARTILE($J$4:$J$20,3),J4&gt;QUARTILE($J$4:$J$20,2)),$B$41,IF(AND(J4&lt;=QUARTILE($J$4:$J$20,2),J4&gt;QUARTILE($J$4:$J$20,1)),$B$40,$B$39)))</f>
        <v>1.25</v>
      </c>
      <c r="L4" s="197">
        <v>2.1396316642949333</v>
      </c>
      <c r="M4" s="203">
        <f t="shared" ref="M4:M20" si="5">IF(L4&gt;QUARTILE($L$4:$L$20,3),$B$48,IF(AND(L4&lt;=QUARTILE($L$4:$L$20,3),L4&gt;QUARTILE($L$4:$L$20,2)),$B$47,IF(AND(L4&lt;=QUARTILE($L$4:$L$20,2),L4&gt;QUARTILE($L$4:$L$20,1)),$B$46,$B$45)))</f>
        <v>5</v>
      </c>
      <c r="N4" s="177">
        <v>99.78</v>
      </c>
      <c r="O4" s="177">
        <f>IF(N4&gt;QUARTILE($N$4:$N$20,3),$B$54,IF(AND(N4&lt;=QUARTILE($N$4:$N$20,3),N4&gt;QUARTILE(N4:$N$20,2)),$B$53,IF(AND(N4&lt;=QUARTILE($N$4:$N$20,2),N4&gt;QUARTILE($N$4:$N$20,1)),$B$52,$B$51)))</f>
        <v>2.25</v>
      </c>
      <c r="P4" s="202">
        <v>0</v>
      </c>
      <c r="Q4" s="177" t="str">
        <f t="shared" ref="Q4:Q20" si="6">IF(P4=0,"0",$J$51)</f>
        <v>0</v>
      </c>
      <c r="R4" s="197">
        <v>8.4500000000000006E-2</v>
      </c>
      <c r="S4" s="196" t="str">
        <f t="shared" ref="S4:S20" si="7">IF(R4&gt;14.22%,"9",IF(R4&lt;=-3.38%,"2,25",IF(AND(R4&gt;-3.38%,R4&lt;=5.46%),"4,5","6,75")))</f>
        <v>6,75</v>
      </c>
      <c r="T4" s="199">
        <v>1</v>
      </c>
      <c r="U4" s="199">
        <f t="shared" ref="U4:U20" si="8">IF(T4=0,"0",$H$57)</f>
        <v>1</v>
      </c>
      <c r="V4" s="197">
        <v>9.2899999999999996E-2</v>
      </c>
      <c r="W4" s="196" t="str">
        <f t="shared" ref="W4:W20" si="9">IF(V4&gt;7.92%,"13,5",IF(V4&lt;=-8.43%,"3,375",IF(AND(V4&gt;-8.43%,V4&lt;=2.12%),"6,75","10,125")))</f>
        <v>13,5</v>
      </c>
      <c r="X4" s="199">
        <v>1</v>
      </c>
      <c r="Y4" s="198">
        <f t="shared" ref="Y4:Y20" si="10">IF(X4=0,"0",$H$63)</f>
        <v>1.5</v>
      </c>
      <c r="Z4" s="197">
        <v>7.7899999999999997E-2</v>
      </c>
      <c r="AA4" s="196" t="str">
        <f t="shared" ref="AA4:AA20" si="11">IF(Z4&gt;4.91%,"13,5",IF(Z4&lt;=-10.59%,"3,375",IF(AND(Z4&gt;-10.59%,Z4&lt;=0.77%),"6,75","10,125")))</f>
        <v>13,5</v>
      </c>
      <c r="AB4" s="199">
        <v>1</v>
      </c>
      <c r="AC4" s="198">
        <f t="shared" ref="AC4:AC20" si="12">IF(AB4=0,"0",$H$69)</f>
        <v>1.5</v>
      </c>
      <c r="AD4" s="201">
        <v>1.0677818143279698</v>
      </c>
      <c r="AE4" s="200">
        <f t="shared" ref="AE4:AE20" si="13">IF(AD4&gt;QUARTILE($AD$4:$AD$20,3),$B$78,IF(AND(AD4&lt;=QUARTILE($AD$4:$AD$20,3),AD4&gt;QUARTILE($AD$4:$AD$20,2)),$B$77,IF(AND(AD4&lt;=QUARTILE($AD$4:$AD$20,2),AD4&gt;QUARTILE($AD$4:$AD$20,1)),$B$76,$B$75)))</f>
        <v>2.25</v>
      </c>
      <c r="AF4" s="199">
        <v>1</v>
      </c>
      <c r="AG4" s="198">
        <f t="shared" ref="AG4:AG20" si="14">IF(AF4=0,"0",$K$75)</f>
        <v>0.5</v>
      </c>
      <c r="AH4" s="197">
        <v>0.30621081902178471</v>
      </c>
      <c r="AI4" s="196">
        <f t="shared" ref="AI4:AI20" si="15">IF(AH4&gt;QUARTILE($AH$4:$AH$20,3),$B$84,IF(AND(AH4&lt;=QUARTILE($AH$4:$AH$20,3),AH4&gt;QUARTILE($AH$4:$AH$20,2)),$B$83,IF(AND(AH4&lt;=QUARTILE($AH$4:$AH$20,2),AH4&gt;QUARTILE($AH$4:$AH$20,1)),$B$82,$B$81)))</f>
        <v>6.75</v>
      </c>
      <c r="AJ4" s="195">
        <v>1</v>
      </c>
      <c r="AK4" s="194">
        <f t="shared" ref="AK4:AK20" si="16">IF(AJ4=0,"0",$K$81)</f>
        <v>1</v>
      </c>
      <c r="AL4" s="193">
        <f t="shared" ref="AL4:AL20" si="17">C4+E4+G4+I4+K4+M4+O4+Q4+S4+U4+W4+Y4+AA4+AC4+AE4+AG4+AI4+AK4</f>
        <v>86.75</v>
      </c>
    </row>
    <row r="5" spans="1:38">
      <c r="A5" s="190" t="s">
        <v>488</v>
      </c>
      <c r="B5" s="189">
        <v>13.5</v>
      </c>
      <c r="C5" s="177">
        <f t="shared" si="0"/>
        <v>13.5</v>
      </c>
      <c r="D5" s="107">
        <v>1</v>
      </c>
      <c r="E5" s="180">
        <f t="shared" si="1"/>
        <v>1.5</v>
      </c>
      <c r="F5" s="107">
        <v>24</v>
      </c>
      <c r="G5" s="107">
        <f t="shared" si="2"/>
        <v>10.125</v>
      </c>
      <c r="H5" s="180">
        <v>0</v>
      </c>
      <c r="I5" s="180" t="str">
        <f t="shared" si="3"/>
        <v>0</v>
      </c>
      <c r="J5" s="187">
        <v>-3.2000000000000002E-3</v>
      </c>
      <c r="K5" s="181">
        <f t="shared" si="4"/>
        <v>2.5</v>
      </c>
      <c r="L5" s="187">
        <v>-0.42280607125536857</v>
      </c>
      <c r="M5" s="188">
        <f t="shared" si="5"/>
        <v>1.25</v>
      </c>
      <c r="N5" s="107">
        <v>130.04</v>
      </c>
      <c r="O5" s="107">
        <f>IF(N5&gt;QUARTILE($N$4:$N$20,3),$B$54,IF(AND(N5&lt;=QUARTILE($N$4:$N$20,3),N5&gt;QUARTILE(N5:$N$20,2)),$B$53,IF(AND(N5&lt;=QUARTILE($N$4:$N$20,2),N5&gt;QUARTILE($N$4:$N$20,1)),$B$52,$B$51)))</f>
        <v>1.125</v>
      </c>
      <c r="P5" s="40">
        <v>0</v>
      </c>
      <c r="Q5" s="107" t="str">
        <f t="shared" si="6"/>
        <v>0</v>
      </c>
      <c r="R5" s="187">
        <v>0.20799999999999999</v>
      </c>
      <c r="S5" s="181" t="str">
        <f t="shared" si="7"/>
        <v>9</v>
      </c>
      <c r="T5" s="184">
        <v>0</v>
      </c>
      <c r="U5" s="184" t="str">
        <f t="shared" si="8"/>
        <v>0</v>
      </c>
      <c r="V5" s="187">
        <v>0.17349999999999999</v>
      </c>
      <c r="W5" s="181" t="str">
        <f t="shared" si="9"/>
        <v>13,5</v>
      </c>
      <c r="X5" s="184">
        <v>0</v>
      </c>
      <c r="Y5" s="183" t="str">
        <f t="shared" si="10"/>
        <v>0</v>
      </c>
      <c r="Z5" s="187">
        <v>0.13930000000000001</v>
      </c>
      <c r="AA5" s="181" t="str">
        <f t="shared" si="11"/>
        <v>13,5</v>
      </c>
      <c r="AB5" s="184">
        <v>0</v>
      </c>
      <c r="AC5" s="183" t="str">
        <f t="shared" si="12"/>
        <v>0</v>
      </c>
      <c r="AD5" s="186">
        <v>1.2258968252678777</v>
      </c>
      <c r="AE5" s="183">
        <f t="shared" si="13"/>
        <v>4.5</v>
      </c>
      <c r="AF5" s="184">
        <v>0</v>
      </c>
      <c r="AG5" s="183" t="str">
        <f t="shared" si="14"/>
        <v>0</v>
      </c>
      <c r="AH5" s="187">
        <v>2.3166854488483315</v>
      </c>
      <c r="AI5" s="181">
        <f t="shared" si="15"/>
        <v>9</v>
      </c>
      <c r="AJ5" s="180">
        <v>0</v>
      </c>
      <c r="AK5" s="39" t="str">
        <f t="shared" si="16"/>
        <v>0</v>
      </c>
      <c r="AL5" s="160">
        <f t="shared" si="17"/>
        <v>79.5</v>
      </c>
    </row>
    <row r="6" spans="1:38">
      <c r="A6" s="190" t="s">
        <v>487</v>
      </c>
      <c r="B6" s="189">
        <v>7.2</v>
      </c>
      <c r="C6" s="177">
        <f t="shared" si="0"/>
        <v>13.5</v>
      </c>
      <c r="D6" s="107">
        <v>0</v>
      </c>
      <c r="E6" s="180" t="str">
        <f t="shared" si="1"/>
        <v>0</v>
      </c>
      <c r="F6" s="107">
        <v>17.600000000000001</v>
      </c>
      <c r="G6" s="107">
        <f t="shared" si="2"/>
        <v>10.125</v>
      </c>
      <c r="H6" s="180">
        <v>0</v>
      </c>
      <c r="I6" s="180" t="str">
        <f t="shared" si="3"/>
        <v>0</v>
      </c>
      <c r="J6" s="187">
        <v>4.4299999999999999E-2</v>
      </c>
      <c r="K6" s="181">
        <f t="shared" si="4"/>
        <v>3.75</v>
      </c>
      <c r="L6" s="187">
        <v>-1.07215024367051E-2</v>
      </c>
      <c r="M6" s="188">
        <f t="shared" si="5"/>
        <v>1.25</v>
      </c>
      <c r="N6" s="107" t="s">
        <v>511</v>
      </c>
      <c r="O6" s="107">
        <f>IF(N6&gt;QUARTILE($N$4:$N$20,3),$B$54,IF(AND(N6&lt;=QUARTILE($N$4:$N$20,3),N6&gt;QUARTILE(N6:$N$20,2)),$B$53,IF(AND(N6&lt;=QUARTILE($N$4:$N$20,2),N6&gt;QUARTILE($N$4:$N$20,1)),$B$52,$B$51)))</f>
        <v>1.125</v>
      </c>
      <c r="P6" s="40">
        <v>0</v>
      </c>
      <c r="Q6" s="107" t="str">
        <f t="shared" si="6"/>
        <v>0</v>
      </c>
      <c r="R6" s="187">
        <v>6.4899999999999999E-2</v>
      </c>
      <c r="S6" s="181" t="str">
        <f t="shared" si="7"/>
        <v>6,75</v>
      </c>
      <c r="T6" s="184">
        <v>1</v>
      </c>
      <c r="U6" s="184">
        <f t="shared" si="8"/>
        <v>1</v>
      </c>
      <c r="V6" s="187">
        <v>5.0799999999999998E-2</v>
      </c>
      <c r="W6" s="181" t="str">
        <f t="shared" si="9"/>
        <v>10,125</v>
      </c>
      <c r="X6" s="184">
        <v>0</v>
      </c>
      <c r="Y6" s="183" t="str">
        <f t="shared" si="10"/>
        <v>0</v>
      </c>
      <c r="Z6" s="187">
        <v>4.7500000000000001E-2</v>
      </c>
      <c r="AA6" s="181" t="str">
        <f t="shared" si="11"/>
        <v>10,125</v>
      </c>
      <c r="AB6" s="184">
        <v>0</v>
      </c>
      <c r="AC6" s="183" t="str">
        <f t="shared" si="12"/>
        <v>0</v>
      </c>
      <c r="AD6" s="186">
        <v>1.0534978121619123</v>
      </c>
      <c r="AE6" s="191">
        <f t="shared" si="13"/>
        <v>2.25</v>
      </c>
      <c r="AF6" s="184">
        <v>1</v>
      </c>
      <c r="AG6" s="183">
        <f t="shared" si="14"/>
        <v>0.5</v>
      </c>
      <c r="AH6" s="187">
        <v>0.30371044925362473</v>
      </c>
      <c r="AI6" s="181">
        <f t="shared" si="15"/>
        <v>6.75</v>
      </c>
      <c r="AJ6" s="180">
        <v>0</v>
      </c>
      <c r="AK6" s="39" t="str">
        <f t="shared" si="16"/>
        <v>0</v>
      </c>
      <c r="AL6" s="160">
        <f t="shared" si="17"/>
        <v>67.25</v>
      </c>
    </row>
    <row r="7" spans="1:38">
      <c r="A7" s="190" t="s">
        <v>486</v>
      </c>
      <c r="B7" s="189">
        <v>-1.2</v>
      </c>
      <c r="C7" s="177">
        <f t="shared" si="0"/>
        <v>13.5</v>
      </c>
      <c r="D7" s="107">
        <v>1</v>
      </c>
      <c r="E7" s="180">
        <f t="shared" si="1"/>
        <v>1.5</v>
      </c>
      <c r="F7" s="107">
        <v>-38.6</v>
      </c>
      <c r="G7" s="107">
        <f t="shared" si="2"/>
        <v>3.375</v>
      </c>
      <c r="H7" s="180">
        <v>0</v>
      </c>
      <c r="I7" s="180" t="str">
        <f t="shared" si="3"/>
        <v>0</v>
      </c>
      <c r="J7" s="187">
        <v>0.1255</v>
      </c>
      <c r="K7" s="181">
        <f t="shared" si="4"/>
        <v>5</v>
      </c>
      <c r="L7" s="187">
        <v>0.66951158723294135</v>
      </c>
      <c r="M7" s="188">
        <f t="shared" si="5"/>
        <v>3.75</v>
      </c>
      <c r="N7" s="107">
        <v>-42.21</v>
      </c>
      <c r="O7" s="107">
        <f>IF(N7&gt;QUARTILE($N$4:$N$20,3),$B$54,IF(AND(N7&lt;=QUARTILE($N$4:$N$20,3),N7&gt;QUARTILE(N7:$N$20,2)),$B$53,IF(AND(N7&lt;=QUARTILE($N$4:$N$20,2),N7&gt;QUARTILE($N$4:$N$20,1)),$B$52,$B$51)))</f>
        <v>4.5</v>
      </c>
      <c r="P7" s="40">
        <v>1</v>
      </c>
      <c r="Q7" s="107">
        <f t="shared" si="6"/>
        <v>0.5</v>
      </c>
      <c r="R7" s="187">
        <v>9.5999999999999992E-3</v>
      </c>
      <c r="S7" s="181" t="str">
        <f t="shared" si="7"/>
        <v>4,5</v>
      </c>
      <c r="T7" s="184">
        <v>1</v>
      </c>
      <c r="U7" s="184">
        <f t="shared" si="8"/>
        <v>1</v>
      </c>
      <c r="V7" s="187">
        <v>3.2000000000000002E-3</v>
      </c>
      <c r="W7" s="181" t="str">
        <f t="shared" si="9"/>
        <v>6,75</v>
      </c>
      <c r="X7" s="184">
        <v>1</v>
      </c>
      <c r="Y7" s="183">
        <f t="shared" si="10"/>
        <v>1.5</v>
      </c>
      <c r="Z7" s="187">
        <v>-2.46E-2</v>
      </c>
      <c r="AA7" s="181" t="str">
        <f t="shared" si="11"/>
        <v>6,75</v>
      </c>
      <c r="AB7" s="184">
        <v>1</v>
      </c>
      <c r="AC7" s="183">
        <f t="shared" si="12"/>
        <v>1.5</v>
      </c>
      <c r="AD7" s="186">
        <v>1.0032133095830691</v>
      </c>
      <c r="AE7" s="185">
        <f t="shared" si="13"/>
        <v>1.125</v>
      </c>
      <c r="AF7" s="184">
        <v>0</v>
      </c>
      <c r="AG7" s="183" t="str">
        <f t="shared" si="14"/>
        <v>0</v>
      </c>
      <c r="AH7" s="187">
        <v>1.0573499339819154E-2</v>
      </c>
      <c r="AI7" s="181">
        <f t="shared" si="15"/>
        <v>2.25</v>
      </c>
      <c r="AJ7" s="180">
        <v>1</v>
      </c>
      <c r="AK7" s="39">
        <f t="shared" si="16"/>
        <v>1</v>
      </c>
      <c r="AL7" s="160">
        <f t="shared" si="17"/>
        <v>58.5</v>
      </c>
    </row>
    <row r="8" spans="1:38">
      <c r="A8" s="190" t="s">
        <v>485</v>
      </c>
      <c r="B8" s="189">
        <v>2.1</v>
      </c>
      <c r="C8" s="177">
        <f t="shared" si="0"/>
        <v>6.75</v>
      </c>
      <c r="D8" s="107">
        <v>1</v>
      </c>
      <c r="E8" s="180">
        <f t="shared" si="1"/>
        <v>1.5</v>
      </c>
      <c r="F8" s="107">
        <v>2.5</v>
      </c>
      <c r="G8" s="107">
        <f t="shared" si="2"/>
        <v>6.75</v>
      </c>
      <c r="H8" s="180">
        <v>1</v>
      </c>
      <c r="I8" s="180">
        <f t="shared" si="3"/>
        <v>1.5</v>
      </c>
      <c r="J8" s="187">
        <v>1.9900000000000001E-2</v>
      </c>
      <c r="K8" s="181">
        <f t="shared" si="4"/>
        <v>3.75</v>
      </c>
      <c r="L8" s="187">
        <v>0.43832635431435257</v>
      </c>
      <c r="M8" s="188">
        <f t="shared" si="5"/>
        <v>3.75</v>
      </c>
      <c r="N8" s="107">
        <v>70.87</v>
      </c>
      <c r="O8" s="107">
        <f>IF(N8&gt;QUARTILE($N$4:$N$20,3),$B$54,IF(AND(N8&lt;=QUARTILE($N$4:$N$20,3),N8&gt;QUARTILE(N8:$N$20,2)),$B$53,IF(AND(N8&lt;=QUARTILE($N$4:$N$20,2),N8&gt;QUARTILE($N$4:$N$20,1)),$B$52,$B$51)))</f>
        <v>3.375</v>
      </c>
      <c r="P8" s="40">
        <v>1</v>
      </c>
      <c r="Q8" s="107">
        <f t="shared" si="6"/>
        <v>0.5</v>
      </c>
      <c r="R8" s="187">
        <v>8.1900000000000001E-2</v>
      </c>
      <c r="S8" s="181" t="str">
        <f t="shared" si="7"/>
        <v>6,75</v>
      </c>
      <c r="T8" s="184">
        <v>0</v>
      </c>
      <c r="U8" s="184" t="str">
        <f t="shared" si="8"/>
        <v>0</v>
      </c>
      <c r="V8" s="187">
        <v>1.66E-2</v>
      </c>
      <c r="W8" s="181" t="str">
        <f t="shared" si="9"/>
        <v>6,75</v>
      </c>
      <c r="X8" s="184">
        <v>1</v>
      </c>
      <c r="Y8" s="183">
        <f t="shared" si="10"/>
        <v>1.5</v>
      </c>
      <c r="Z8" s="187">
        <v>7.4300000000000005E-2</v>
      </c>
      <c r="AA8" s="181" t="str">
        <f t="shared" si="11"/>
        <v>13,5</v>
      </c>
      <c r="AB8" s="184">
        <v>1</v>
      </c>
      <c r="AC8" s="183">
        <f t="shared" si="12"/>
        <v>1.5</v>
      </c>
      <c r="AD8" s="186">
        <v>1.016883531928839</v>
      </c>
      <c r="AE8" s="185">
        <f t="shared" si="13"/>
        <v>1.125</v>
      </c>
      <c r="AF8" s="184">
        <v>1</v>
      </c>
      <c r="AG8" s="183">
        <f t="shared" si="14"/>
        <v>0.5</v>
      </c>
      <c r="AH8" s="187">
        <v>6.3595236543331476E-2</v>
      </c>
      <c r="AI8" s="181">
        <f t="shared" si="15"/>
        <v>2.25</v>
      </c>
      <c r="AJ8" s="180">
        <v>1</v>
      </c>
      <c r="AK8" s="39">
        <f t="shared" si="16"/>
        <v>1</v>
      </c>
      <c r="AL8" s="160">
        <f t="shared" si="17"/>
        <v>62.75</v>
      </c>
    </row>
    <row r="9" spans="1:38">
      <c r="A9" s="190" t="s">
        <v>484</v>
      </c>
      <c r="B9" s="189">
        <v>0.7</v>
      </c>
      <c r="C9" s="177">
        <f t="shared" si="0"/>
        <v>10.125</v>
      </c>
      <c r="D9" s="107">
        <v>0</v>
      </c>
      <c r="E9" s="180" t="str">
        <f t="shared" si="1"/>
        <v>0</v>
      </c>
      <c r="F9" s="107">
        <v>1.9</v>
      </c>
      <c r="G9" s="107">
        <f t="shared" si="2"/>
        <v>6.75</v>
      </c>
      <c r="H9" s="180">
        <v>1</v>
      </c>
      <c r="I9" s="180">
        <f t="shared" si="3"/>
        <v>1.5</v>
      </c>
      <c r="J9" s="187">
        <v>-2.4500000000000001E-2</v>
      </c>
      <c r="K9" s="181">
        <f t="shared" si="4"/>
        <v>1.25</v>
      </c>
      <c r="L9" s="187">
        <v>7.7056140902657649E-3</v>
      </c>
      <c r="M9" s="188">
        <f t="shared" si="5"/>
        <v>1.25</v>
      </c>
      <c r="N9" s="107">
        <v>2.11</v>
      </c>
      <c r="O9" s="107">
        <f>IF(N9&gt;QUARTILE($N$4:$N$20,3),$B$54,IF(AND(N9&lt;=QUARTILE($N$4:$N$20,3),N9&gt;QUARTILE(N9:$N$20,2)),$B$53,IF(AND(N9&lt;=QUARTILE($N$4:$N$20,2),N9&gt;QUARTILE($N$4:$N$20,1)),$B$52,$B$51)))</f>
        <v>4.5</v>
      </c>
      <c r="P9" s="40">
        <v>1</v>
      </c>
      <c r="Q9" s="107">
        <f t="shared" si="6"/>
        <v>0.5</v>
      </c>
      <c r="R9" s="187">
        <v>1.44E-2</v>
      </c>
      <c r="S9" s="181" t="str">
        <f t="shared" si="7"/>
        <v>4,5</v>
      </c>
      <c r="T9" s="184">
        <v>0</v>
      </c>
      <c r="U9" s="184" t="str">
        <f t="shared" si="8"/>
        <v>0</v>
      </c>
      <c r="V9" s="187">
        <v>2.24E-2</v>
      </c>
      <c r="W9" s="181" t="str">
        <f t="shared" si="9"/>
        <v>10,125</v>
      </c>
      <c r="X9" s="184">
        <v>1</v>
      </c>
      <c r="Y9" s="183">
        <f t="shared" si="10"/>
        <v>1.5</v>
      </c>
      <c r="Z9" s="187">
        <v>2.5000000000000001E-3</v>
      </c>
      <c r="AA9" s="181" t="str">
        <f t="shared" si="11"/>
        <v>6,75</v>
      </c>
      <c r="AB9" s="184">
        <v>1</v>
      </c>
      <c r="AC9" s="183">
        <f t="shared" si="12"/>
        <v>1.5</v>
      </c>
      <c r="AD9" s="186">
        <v>1.0229593766696419</v>
      </c>
      <c r="AE9" s="185">
        <f t="shared" si="13"/>
        <v>1.125</v>
      </c>
      <c r="AF9" s="184">
        <v>1</v>
      </c>
      <c r="AG9" s="183">
        <f t="shared" si="14"/>
        <v>0.5</v>
      </c>
      <c r="AH9" s="187">
        <v>0.17931414598171833</v>
      </c>
      <c r="AI9" s="181">
        <f t="shared" si="15"/>
        <v>4.5</v>
      </c>
      <c r="AJ9" s="180">
        <v>1</v>
      </c>
      <c r="AK9" s="39">
        <f t="shared" si="16"/>
        <v>1</v>
      </c>
      <c r="AL9" s="160">
        <f t="shared" si="17"/>
        <v>57.375</v>
      </c>
    </row>
    <row r="10" spans="1:38">
      <c r="A10" s="190" t="s">
        <v>483</v>
      </c>
      <c r="B10" s="189">
        <v>2.2000000000000002</v>
      </c>
      <c r="C10" s="177">
        <f t="shared" si="0"/>
        <v>6.75</v>
      </c>
      <c r="D10" s="107">
        <v>1</v>
      </c>
      <c r="E10" s="180">
        <f t="shared" si="1"/>
        <v>1.5</v>
      </c>
      <c r="F10" s="107">
        <v>1.4</v>
      </c>
      <c r="G10" s="107">
        <f t="shared" si="2"/>
        <v>6.75</v>
      </c>
      <c r="H10" s="180">
        <v>0</v>
      </c>
      <c r="I10" s="180" t="str">
        <f t="shared" si="3"/>
        <v>0</v>
      </c>
      <c r="J10" s="187">
        <v>-0.19520000000000001</v>
      </c>
      <c r="K10" s="181">
        <f t="shared" si="4"/>
        <v>1.25</v>
      </c>
      <c r="L10" s="187">
        <v>-0.273415351002679</v>
      </c>
      <c r="M10" s="188">
        <f t="shared" si="5"/>
        <v>1.25</v>
      </c>
      <c r="N10" s="107">
        <v>242.43</v>
      </c>
      <c r="O10" s="107">
        <f>IF(N10&gt;QUARTILE($N$4:$N$20,3),$B$54,IF(AND(N10&lt;=QUARTILE($N$4:$N$20,3),N10&gt;QUARTILE(N10:$N$20,2)),$B$53,IF(AND(N10&lt;=QUARTILE($N$4:$N$20,2),N10&gt;QUARTILE($N$4:$N$20,1)),$B$52,$B$51)))</f>
        <v>1.125</v>
      </c>
      <c r="P10" s="40">
        <v>1</v>
      </c>
      <c r="Q10" s="107">
        <f t="shared" si="6"/>
        <v>0.5</v>
      </c>
      <c r="R10" s="187">
        <v>0.1108</v>
      </c>
      <c r="S10" s="181" t="str">
        <f t="shared" si="7"/>
        <v>6,75</v>
      </c>
      <c r="T10" s="184">
        <v>0</v>
      </c>
      <c r="U10" s="184" t="str">
        <f t="shared" si="8"/>
        <v>0</v>
      </c>
      <c r="V10" s="187">
        <v>0.12790000000000001</v>
      </c>
      <c r="W10" s="181" t="str">
        <f t="shared" si="9"/>
        <v>13,5</v>
      </c>
      <c r="X10" s="184">
        <v>0</v>
      </c>
      <c r="Y10" s="183" t="str">
        <f t="shared" si="10"/>
        <v>0</v>
      </c>
      <c r="Z10" s="187">
        <v>2.0799999999999999E-2</v>
      </c>
      <c r="AA10" s="181" t="str">
        <f t="shared" si="11"/>
        <v>10,125</v>
      </c>
      <c r="AB10" s="184">
        <v>0</v>
      </c>
      <c r="AC10" s="183" t="str">
        <f t="shared" si="12"/>
        <v>0</v>
      </c>
      <c r="AD10" s="186">
        <v>1.1465965905145477</v>
      </c>
      <c r="AE10" s="183">
        <f t="shared" si="13"/>
        <v>4.5</v>
      </c>
      <c r="AF10" s="184">
        <v>0</v>
      </c>
      <c r="AG10" s="183" t="str">
        <f t="shared" si="14"/>
        <v>0</v>
      </c>
      <c r="AH10" s="187">
        <v>0.16694704871862531</v>
      </c>
      <c r="AI10" s="181">
        <f t="shared" si="15"/>
        <v>4.5</v>
      </c>
      <c r="AJ10" s="180">
        <v>0</v>
      </c>
      <c r="AK10" s="39" t="str">
        <f t="shared" si="16"/>
        <v>0</v>
      </c>
      <c r="AL10" s="160">
        <f t="shared" si="17"/>
        <v>58.5</v>
      </c>
    </row>
    <row r="11" spans="1:38">
      <c r="A11" s="190" t="s">
        <v>482</v>
      </c>
      <c r="B11" s="189">
        <v>7.2</v>
      </c>
      <c r="C11" s="177">
        <f t="shared" si="0"/>
        <v>10.125</v>
      </c>
      <c r="D11" s="107">
        <v>1</v>
      </c>
      <c r="E11" s="180">
        <f t="shared" si="1"/>
        <v>1.5</v>
      </c>
      <c r="F11" s="107">
        <v>8.1999999999999993</v>
      </c>
      <c r="G11" s="107">
        <f t="shared" si="2"/>
        <v>10.125</v>
      </c>
      <c r="H11" s="180">
        <v>1</v>
      </c>
      <c r="I11" s="180">
        <f t="shared" si="3"/>
        <v>1.5</v>
      </c>
      <c r="J11" s="187">
        <v>3.3700000000000001E-2</v>
      </c>
      <c r="K11" s="181">
        <f t="shared" si="4"/>
        <v>3.75</v>
      </c>
      <c r="L11" s="187">
        <v>0.54505847282733322</v>
      </c>
      <c r="M11" s="188">
        <f t="shared" si="5"/>
        <v>3.75</v>
      </c>
      <c r="N11" s="107">
        <v>-5.72</v>
      </c>
      <c r="O11" s="107">
        <f>IF(N11&gt;QUARTILE($N$4:$N$20,3),$B$54,IF(AND(N11&lt;=QUARTILE($N$4:$N$20,3),N11&gt;QUARTILE(N11:$N$20,2)),$B$53,IF(AND(N11&lt;=QUARTILE($N$4:$N$20,2),N11&gt;QUARTILE($N$4:$N$20,1)),$B$52,$B$51)))</f>
        <v>4.5</v>
      </c>
      <c r="P11" s="40">
        <v>1</v>
      </c>
      <c r="Q11" s="107">
        <f t="shared" si="6"/>
        <v>0.5</v>
      </c>
      <c r="R11" s="187">
        <v>0.495</v>
      </c>
      <c r="S11" s="181" t="str">
        <f t="shared" si="7"/>
        <v>9</v>
      </c>
      <c r="T11" s="184">
        <v>1</v>
      </c>
      <c r="U11" s="184">
        <f t="shared" si="8"/>
        <v>1</v>
      </c>
      <c r="V11" s="187">
        <v>0.36420000000000002</v>
      </c>
      <c r="W11" s="181" t="str">
        <f t="shared" si="9"/>
        <v>13,5</v>
      </c>
      <c r="X11" s="184">
        <v>1</v>
      </c>
      <c r="Y11" s="183">
        <f t="shared" si="10"/>
        <v>1.5</v>
      </c>
      <c r="Z11" s="187">
        <v>0.43369999999999997</v>
      </c>
      <c r="AA11" s="181" t="str">
        <f t="shared" si="11"/>
        <v>13,5</v>
      </c>
      <c r="AB11" s="184">
        <v>1</v>
      </c>
      <c r="AC11" s="183">
        <f t="shared" si="12"/>
        <v>1.5</v>
      </c>
      <c r="AD11" s="186">
        <v>1.5727757572847776</v>
      </c>
      <c r="AE11" s="183">
        <f t="shared" si="13"/>
        <v>4.5</v>
      </c>
      <c r="AF11" s="184">
        <v>1</v>
      </c>
      <c r="AG11" s="183">
        <f t="shared" si="14"/>
        <v>0.5</v>
      </c>
      <c r="AH11" s="187">
        <v>0.10894682555511623</v>
      </c>
      <c r="AI11" s="181">
        <f t="shared" si="15"/>
        <v>4.5</v>
      </c>
      <c r="AJ11" s="180">
        <v>1</v>
      </c>
      <c r="AK11" s="39">
        <f t="shared" si="16"/>
        <v>1</v>
      </c>
      <c r="AL11" s="160">
        <f t="shared" si="17"/>
        <v>86.25</v>
      </c>
    </row>
    <row r="12" spans="1:38">
      <c r="A12" s="190" t="s">
        <v>481</v>
      </c>
      <c r="B12" s="192">
        <v>4.4000000000000004</v>
      </c>
      <c r="C12" s="177">
        <f t="shared" si="0"/>
        <v>13.5</v>
      </c>
      <c r="D12" s="107">
        <v>0</v>
      </c>
      <c r="E12" s="180" t="str">
        <f t="shared" si="1"/>
        <v>0</v>
      </c>
      <c r="F12" s="107">
        <v>7.2</v>
      </c>
      <c r="G12" s="107">
        <f t="shared" si="2"/>
        <v>10.125</v>
      </c>
      <c r="H12" s="180">
        <v>0</v>
      </c>
      <c r="I12" s="180" t="str">
        <f t="shared" si="3"/>
        <v>0</v>
      </c>
      <c r="J12" s="187">
        <v>3.7100000000000001E-2</v>
      </c>
      <c r="K12" s="181">
        <f t="shared" si="4"/>
        <v>3.75</v>
      </c>
      <c r="L12" s="187">
        <v>0.83102574461052559</v>
      </c>
      <c r="M12" s="188">
        <f t="shared" si="5"/>
        <v>3.75</v>
      </c>
      <c r="N12" s="107">
        <v>44.01</v>
      </c>
      <c r="O12" s="107">
        <f>IF(N12&gt;QUARTILE($N$4:$N$20,3),$B$54,IF(AND(N12&lt;=QUARTILE($N$4:$N$20,3),N12&gt;QUARTILE(N12:$N$20,2)),$B$53,IF(AND(N12&lt;=QUARTILE($N$4:$N$20,2),N12&gt;QUARTILE($N$4:$N$20,1)),$B$52,$B$51)))</f>
        <v>3.375</v>
      </c>
      <c r="P12" s="40">
        <v>1</v>
      </c>
      <c r="Q12" s="107">
        <f t="shared" si="6"/>
        <v>0.5</v>
      </c>
      <c r="R12" s="187">
        <v>5.7799999999999997E-2</v>
      </c>
      <c r="S12" s="181" t="str">
        <f t="shared" si="7"/>
        <v>6,75</v>
      </c>
      <c r="T12" s="184">
        <v>0</v>
      </c>
      <c r="U12" s="184" t="str">
        <f t="shared" si="8"/>
        <v>0</v>
      </c>
      <c r="V12" s="187">
        <v>3.4299999999999997E-2</v>
      </c>
      <c r="W12" s="181" t="str">
        <f t="shared" si="9"/>
        <v>10,125</v>
      </c>
      <c r="X12" s="184">
        <v>1</v>
      </c>
      <c r="Y12" s="183">
        <f t="shared" si="10"/>
        <v>1.5</v>
      </c>
      <c r="Z12" s="187">
        <v>3.44E-2</v>
      </c>
      <c r="AA12" s="181" t="str">
        <f t="shared" si="11"/>
        <v>10,125</v>
      </c>
      <c r="AB12" s="184">
        <v>0</v>
      </c>
      <c r="AC12" s="183" t="str">
        <f t="shared" si="12"/>
        <v>0</v>
      </c>
      <c r="AD12" s="186">
        <v>1.0720932604027467</v>
      </c>
      <c r="AE12" s="185">
        <f t="shared" si="13"/>
        <v>3.375</v>
      </c>
      <c r="AF12" s="184">
        <v>0</v>
      </c>
      <c r="AG12" s="183" t="str">
        <f t="shared" si="14"/>
        <v>0</v>
      </c>
      <c r="AH12" s="187">
        <v>0.24642645314353501</v>
      </c>
      <c r="AI12" s="181">
        <f t="shared" si="15"/>
        <v>6.75</v>
      </c>
      <c r="AJ12" s="180">
        <v>0</v>
      </c>
      <c r="AK12" s="39" t="str">
        <f t="shared" si="16"/>
        <v>0</v>
      </c>
      <c r="AL12" s="160">
        <f t="shared" si="17"/>
        <v>73.625</v>
      </c>
    </row>
    <row r="13" spans="1:38">
      <c r="A13" s="190" t="s">
        <v>480</v>
      </c>
      <c r="B13" s="189">
        <v>11.4</v>
      </c>
      <c r="C13" s="177">
        <f t="shared" si="0"/>
        <v>10.125</v>
      </c>
      <c r="D13" s="107">
        <v>0</v>
      </c>
      <c r="E13" s="180" t="str">
        <f t="shared" si="1"/>
        <v>0</v>
      </c>
      <c r="F13" s="107">
        <v>24.9</v>
      </c>
      <c r="G13" s="107">
        <f t="shared" si="2"/>
        <v>10.125</v>
      </c>
      <c r="H13" s="180">
        <v>0</v>
      </c>
      <c r="I13" s="180" t="str">
        <f t="shared" si="3"/>
        <v>0</v>
      </c>
      <c r="J13" s="187">
        <v>1.1599999999999999E-2</v>
      </c>
      <c r="K13" s="181">
        <f t="shared" si="4"/>
        <v>2.5</v>
      </c>
      <c r="L13" s="187">
        <v>3.321919495491945E-2</v>
      </c>
      <c r="M13" s="188">
        <f t="shared" si="5"/>
        <v>1.25</v>
      </c>
      <c r="N13" s="107">
        <v>191.85</v>
      </c>
      <c r="O13" s="107">
        <f>IF(N13&gt;QUARTILE($N$4:$N$20,3),$B$54,IF(AND(N13&lt;=QUARTILE($N$4:$N$20,3),N13&gt;QUARTILE(N13:$N$20,2)),$B$53,IF(AND(N13&lt;=QUARTILE($N$4:$N$20,2),N13&gt;QUARTILE($N$4:$N$20,1)),$B$52,$B$51)))</f>
        <v>1.125</v>
      </c>
      <c r="P13" s="40">
        <v>0</v>
      </c>
      <c r="Q13" s="107" t="str">
        <f t="shared" si="6"/>
        <v>0</v>
      </c>
      <c r="R13" s="187">
        <v>0.13950000000000001</v>
      </c>
      <c r="S13" s="181" t="str">
        <f t="shared" si="7"/>
        <v>6,75</v>
      </c>
      <c r="T13" s="184">
        <v>1</v>
      </c>
      <c r="U13" s="184">
        <f t="shared" si="8"/>
        <v>1</v>
      </c>
      <c r="V13" s="187">
        <v>0.1192</v>
      </c>
      <c r="W13" s="181" t="str">
        <f t="shared" si="9"/>
        <v>13,5</v>
      </c>
      <c r="X13" s="184">
        <v>1</v>
      </c>
      <c r="Y13" s="183">
        <f t="shared" si="10"/>
        <v>1.5</v>
      </c>
      <c r="Z13" s="187">
        <v>8.4599999999999995E-2</v>
      </c>
      <c r="AA13" s="181" t="str">
        <f t="shared" si="11"/>
        <v>13,5</v>
      </c>
      <c r="AB13" s="184">
        <v>1</v>
      </c>
      <c r="AC13" s="183">
        <f t="shared" si="12"/>
        <v>1.5</v>
      </c>
      <c r="AD13" s="186">
        <v>1.1353394594775981</v>
      </c>
      <c r="AE13" s="183">
        <f t="shared" si="13"/>
        <v>4.5</v>
      </c>
      <c r="AF13" s="184">
        <v>1</v>
      </c>
      <c r="AG13" s="183">
        <f t="shared" si="14"/>
        <v>0.5</v>
      </c>
      <c r="AH13" s="187">
        <v>0.48184538033607982</v>
      </c>
      <c r="AI13" s="181">
        <f t="shared" si="15"/>
        <v>9</v>
      </c>
      <c r="AJ13" s="180">
        <v>0</v>
      </c>
      <c r="AK13" s="39" t="str">
        <f t="shared" si="16"/>
        <v>0</v>
      </c>
      <c r="AL13" s="160">
        <f t="shared" si="17"/>
        <v>76.875</v>
      </c>
    </row>
    <row r="14" spans="1:38">
      <c r="A14" s="190" t="s">
        <v>479</v>
      </c>
      <c r="B14" s="189">
        <v>3.1</v>
      </c>
      <c r="C14" s="177">
        <f t="shared" si="0"/>
        <v>13.5</v>
      </c>
      <c r="D14" s="107">
        <v>0</v>
      </c>
      <c r="E14" s="180" t="str">
        <f t="shared" si="1"/>
        <v>0</v>
      </c>
      <c r="F14" s="107">
        <v>7.5</v>
      </c>
      <c r="G14" s="107">
        <f t="shared" si="2"/>
        <v>10.125</v>
      </c>
      <c r="H14" s="180">
        <v>1</v>
      </c>
      <c r="I14" s="180">
        <f t="shared" si="3"/>
        <v>1.5</v>
      </c>
      <c r="J14" s="187">
        <v>1.47E-2</v>
      </c>
      <c r="K14" s="181">
        <f t="shared" si="4"/>
        <v>2.5</v>
      </c>
      <c r="L14" s="187">
        <v>0.30339229650049776</v>
      </c>
      <c r="M14" s="188">
        <f t="shared" si="5"/>
        <v>2.5</v>
      </c>
      <c r="N14" s="107">
        <v>56.06</v>
      </c>
      <c r="O14" s="107">
        <f>IF(N14&gt;QUARTILE($N$4:$N$20,3),$B$54,IF(AND(N14&lt;=QUARTILE($N$4:$N$20,3),N14&gt;QUARTILE(N14:$N$20,2)),$B$53,IF(AND(N14&lt;=QUARTILE($N$4:$N$20,2),N14&gt;QUARTILE($N$4:$N$20,1)),$B$52,$B$51)))</f>
        <v>3.375</v>
      </c>
      <c r="P14" s="40">
        <v>1</v>
      </c>
      <c r="Q14" s="107">
        <f t="shared" si="6"/>
        <v>0.5</v>
      </c>
      <c r="R14" s="187">
        <v>8.1600000000000006E-2</v>
      </c>
      <c r="S14" s="181" t="str">
        <f t="shared" si="7"/>
        <v>6,75</v>
      </c>
      <c r="T14" s="184">
        <v>0</v>
      </c>
      <c r="U14" s="184" t="str">
        <f t="shared" si="8"/>
        <v>0</v>
      </c>
      <c r="V14" s="187">
        <v>3.32E-2</v>
      </c>
      <c r="W14" s="181" t="str">
        <f t="shared" si="9"/>
        <v>10,125</v>
      </c>
      <c r="X14" s="184">
        <v>0</v>
      </c>
      <c r="Y14" s="183" t="str">
        <f t="shared" si="10"/>
        <v>0</v>
      </c>
      <c r="Z14" s="187">
        <v>1.7100000000000001E-2</v>
      </c>
      <c r="AA14" s="181" t="str">
        <f t="shared" si="11"/>
        <v>10,125</v>
      </c>
      <c r="AB14" s="184">
        <v>1</v>
      </c>
      <c r="AC14" s="183">
        <f t="shared" si="12"/>
        <v>1.5</v>
      </c>
      <c r="AD14" s="186">
        <v>1.0342905849094017</v>
      </c>
      <c r="AE14" s="191">
        <f t="shared" si="13"/>
        <v>2.25</v>
      </c>
      <c r="AF14" s="184">
        <v>0</v>
      </c>
      <c r="AG14" s="183" t="str">
        <f t="shared" si="14"/>
        <v>0</v>
      </c>
      <c r="AH14" s="187">
        <v>0.20209233636712085</v>
      </c>
      <c r="AI14" s="181">
        <f t="shared" si="15"/>
        <v>6.75</v>
      </c>
      <c r="AJ14" s="180">
        <v>0</v>
      </c>
      <c r="AK14" s="39" t="str">
        <f t="shared" si="16"/>
        <v>0</v>
      </c>
      <c r="AL14" s="160">
        <f t="shared" si="17"/>
        <v>71.5</v>
      </c>
    </row>
    <row r="15" spans="1:38">
      <c r="A15" s="190" t="s">
        <v>478</v>
      </c>
      <c r="B15" s="189">
        <v>1.6</v>
      </c>
      <c r="C15" s="177">
        <f t="shared" si="0"/>
        <v>10.125</v>
      </c>
      <c r="D15" s="107">
        <v>1</v>
      </c>
      <c r="E15" s="180">
        <f t="shared" si="1"/>
        <v>1.5</v>
      </c>
      <c r="F15" s="107">
        <v>2.8</v>
      </c>
      <c r="G15" s="107">
        <f t="shared" si="2"/>
        <v>6.75</v>
      </c>
      <c r="H15" s="180">
        <v>1</v>
      </c>
      <c r="I15" s="180">
        <f t="shared" si="3"/>
        <v>1.5</v>
      </c>
      <c r="J15" s="187">
        <v>-7.3899999999999993E-2</v>
      </c>
      <c r="K15" s="181">
        <f t="shared" si="4"/>
        <v>1.25</v>
      </c>
      <c r="L15" s="187">
        <v>0.13105634978027481</v>
      </c>
      <c r="M15" s="188">
        <f t="shared" si="5"/>
        <v>2.5</v>
      </c>
      <c r="N15" s="107">
        <v>120.68</v>
      </c>
      <c r="O15" s="107">
        <f>IF(N15&gt;QUARTILE($N$4:$N$20,3),$B$54,IF(AND(N15&lt;=QUARTILE($N$4:$N$20,3),N15&gt;QUARTILE(N15:$N$20,2)),$B$53,IF(AND(N15&lt;=QUARTILE($N$4:$N$20,2),N15&gt;QUARTILE($N$4:$N$20,1)),$B$52,$B$51)))</f>
        <v>2.25</v>
      </c>
      <c r="P15" s="40">
        <v>0</v>
      </c>
      <c r="Q15" s="107" t="str">
        <f t="shared" si="6"/>
        <v>0</v>
      </c>
      <c r="R15" s="187">
        <v>3.1300000000000001E-2</v>
      </c>
      <c r="S15" s="181" t="str">
        <f t="shared" si="7"/>
        <v>4,5</v>
      </c>
      <c r="T15" s="184">
        <v>0</v>
      </c>
      <c r="U15" s="184" t="str">
        <f t="shared" si="8"/>
        <v>0</v>
      </c>
      <c r="V15" s="187">
        <v>1.24E-2</v>
      </c>
      <c r="W15" s="181" t="str">
        <f t="shared" si="9"/>
        <v>6,75</v>
      </c>
      <c r="X15" s="184">
        <v>1</v>
      </c>
      <c r="Y15" s="183">
        <f t="shared" si="10"/>
        <v>1.5</v>
      </c>
      <c r="Z15" s="187">
        <v>1.35E-2</v>
      </c>
      <c r="AA15" s="181" t="str">
        <f t="shared" si="11"/>
        <v>10,125</v>
      </c>
      <c r="AB15" s="184">
        <v>1</v>
      </c>
      <c r="AC15" s="183">
        <f t="shared" si="12"/>
        <v>1.5</v>
      </c>
      <c r="AD15" s="186">
        <v>1.0125773089066454</v>
      </c>
      <c r="AE15" s="185">
        <f t="shared" si="13"/>
        <v>1.125</v>
      </c>
      <c r="AF15" s="184">
        <v>1</v>
      </c>
      <c r="AG15" s="183">
        <f t="shared" si="14"/>
        <v>0.5</v>
      </c>
      <c r="AH15" s="187">
        <v>5.9970156329120741E-2</v>
      </c>
      <c r="AI15" s="181">
        <f t="shared" si="15"/>
        <v>2.25</v>
      </c>
      <c r="AJ15" s="180">
        <v>1</v>
      </c>
      <c r="AK15" s="39">
        <f t="shared" si="16"/>
        <v>1</v>
      </c>
      <c r="AL15" s="160">
        <f t="shared" si="17"/>
        <v>55.125</v>
      </c>
    </row>
    <row r="16" spans="1:38">
      <c r="A16" s="190" t="s">
        <v>477</v>
      </c>
      <c r="B16" s="189">
        <v>23.3</v>
      </c>
      <c r="C16" s="177">
        <f t="shared" si="0"/>
        <v>10.125</v>
      </c>
      <c r="D16" s="107">
        <v>1</v>
      </c>
      <c r="E16" s="180">
        <f t="shared" si="1"/>
        <v>1.5</v>
      </c>
      <c r="F16" s="107">
        <v>-36.6</v>
      </c>
      <c r="G16" s="107">
        <f t="shared" si="2"/>
        <v>3.375</v>
      </c>
      <c r="H16" s="180">
        <v>0</v>
      </c>
      <c r="I16" s="180" t="str">
        <f t="shared" si="3"/>
        <v>0</v>
      </c>
      <c r="J16" s="187">
        <v>0.1057</v>
      </c>
      <c r="K16" s="181">
        <f t="shared" si="4"/>
        <v>5</v>
      </c>
      <c r="L16" s="182">
        <v>0.83183603624625679</v>
      </c>
      <c r="M16" s="188">
        <f t="shared" si="5"/>
        <v>5</v>
      </c>
      <c r="N16" s="107">
        <v>71.819999999999993</v>
      </c>
      <c r="O16" s="107">
        <f>IF(N16&gt;QUARTILE($N$4:$N$20,3),$B$54,IF(AND(N16&lt;=QUARTILE($N$4:$N$20,3),N16&gt;QUARTILE(N16:$N$20,2)),$B$53,IF(AND(N16&lt;=QUARTILE($N$4:$N$20,2),N16&gt;QUARTILE($N$4:$N$20,1)),$B$52,$B$51)))</f>
        <v>4.5</v>
      </c>
      <c r="P16" s="40">
        <v>0</v>
      </c>
      <c r="Q16" s="107" t="str">
        <f t="shared" si="6"/>
        <v>0</v>
      </c>
      <c r="R16" s="187">
        <v>7.3499999999999996E-2</v>
      </c>
      <c r="S16" s="181" t="str">
        <f t="shared" si="7"/>
        <v>6,75</v>
      </c>
      <c r="T16" s="184">
        <v>1</v>
      </c>
      <c r="U16" s="184">
        <f t="shared" si="8"/>
        <v>1</v>
      </c>
      <c r="V16" s="187">
        <v>7.7300000000000008E-2</v>
      </c>
      <c r="W16" s="181" t="str">
        <f t="shared" si="9"/>
        <v>10,125</v>
      </c>
      <c r="X16" s="184">
        <v>0</v>
      </c>
      <c r="Y16" s="183" t="str">
        <f t="shared" si="10"/>
        <v>0</v>
      </c>
      <c r="Z16" s="187">
        <v>7.4999999999999997E-2</v>
      </c>
      <c r="AA16" s="181" t="str">
        <f t="shared" si="11"/>
        <v>13,5</v>
      </c>
      <c r="AB16" s="184">
        <v>1</v>
      </c>
      <c r="AC16" s="183">
        <f t="shared" si="12"/>
        <v>1.5</v>
      </c>
      <c r="AD16" s="186">
        <v>1.0837647575622102</v>
      </c>
      <c r="AE16" s="185">
        <f t="shared" si="13"/>
        <v>3.375</v>
      </c>
      <c r="AF16" s="184">
        <v>0</v>
      </c>
      <c r="AG16" s="183" t="str">
        <f t="shared" si="14"/>
        <v>0</v>
      </c>
      <c r="AH16" s="182">
        <v>506.78800000000001</v>
      </c>
      <c r="AI16" s="181">
        <f t="shared" si="15"/>
        <v>9</v>
      </c>
      <c r="AJ16" s="180">
        <v>1</v>
      </c>
      <c r="AK16" s="39">
        <f t="shared" si="16"/>
        <v>1</v>
      </c>
      <c r="AL16" s="160">
        <f t="shared" si="17"/>
        <v>75.75</v>
      </c>
    </row>
    <row r="17" spans="1:38">
      <c r="A17" s="190" t="s">
        <v>476</v>
      </c>
      <c r="B17" s="189">
        <v>2.4</v>
      </c>
      <c r="C17" s="177">
        <f t="shared" si="0"/>
        <v>13.5</v>
      </c>
      <c r="D17" s="107">
        <v>1</v>
      </c>
      <c r="E17" s="180">
        <f t="shared" si="1"/>
        <v>1.5</v>
      </c>
      <c r="F17" s="107">
        <v>5.7</v>
      </c>
      <c r="G17" s="107">
        <f t="shared" si="2"/>
        <v>6.75</v>
      </c>
      <c r="H17" s="180">
        <v>1</v>
      </c>
      <c r="I17" s="180">
        <f t="shared" si="3"/>
        <v>1.5</v>
      </c>
      <c r="J17" s="187">
        <v>0.3135</v>
      </c>
      <c r="K17" s="181">
        <f t="shared" si="4"/>
        <v>5</v>
      </c>
      <c r="L17" s="182">
        <v>0.29329937304075238</v>
      </c>
      <c r="M17" s="188">
        <f t="shared" si="5"/>
        <v>2.5</v>
      </c>
      <c r="N17" s="107">
        <v>-30.66</v>
      </c>
      <c r="O17" s="107">
        <f>IF(N17&gt;QUARTILE($N$4:$N$20,3),$B$54,IF(AND(N17&lt;=QUARTILE($N$4:$N$20,3),N17&gt;QUARTILE(N17:$N$20,2)),$B$53,IF(AND(N17&lt;=QUARTILE($N$4:$N$20,2),N17&gt;QUARTILE($N$4:$N$20,1)),$B$52,$B$51)))</f>
        <v>4.5</v>
      </c>
      <c r="P17" s="40">
        <v>0</v>
      </c>
      <c r="Q17" s="107" t="str">
        <f t="shared" si="6"/>
        <v>0</v>
      </c>
      <c r="R17" s="187">
        <v>5.62E-2</v>
      </c>
      <c r="S17" s="181" t="str">
        <f t="shared" si="7"/>
        <v>6,75</v>
      </c>
      <c r="T17" s="184">
        <v>0</v>
      </c>
      <c r="U17" s="184" t="str">
        <f t="shared" si="8"/>
        <v>0</v>
      </c>
      <c r="V17" s="187">
        <v>1.3899999999999999E-2</v>
      </c>
      <c r="W17" s="181" t="str">
        <f t="shared" si="9"/>
        <v>6,75</v>
      </c>
      <c r="X17" s="184">
        <v>0</v>
      </c>
      <c r="Y17" s="183" t="str">
        <f t="shared" si="10"/>
        <v>0</v>
      </c>
      <c r="Z17" s="187">
        <v>1.38E-2</v>
      </c>
      <c r="AA17" s="181" t="str">
        <f t="shared" si="11"/>
        <v>10,125</v>
      </c>
      <c r="AB17" s="184">
        <v>1</v>
      </c>
      <c r="AC17" s="183">
        <f t="shared" si="12"/>
        <v>1.5</v>
      </c>
      <c r="AD17" s="186">
        <v>1.0140882268684819</v>
      </c>
      <c r="AE17" s="185">
        <f t="shared" si="13"/>
        <v>1.125</v>
      </c>
      <c r="AF17" s="184">
        <v>0</v>
      </c>
      <c r="AG17" s="183" t="str">
        <f t="shared" si="14"/>
        <v>0</v>
      </c>
      <c r="AH17" s="182">
        <v>7.3647865800849144E-2</v>
      </c>
      <c r="AI17" s="181">
        <f t="shared" si="15"/>
        <v>2.25</v>
      </c>
      <c r="AJ17" s="180">
        <v>0</v>
      </c>
      <c r="AK17" s="39" t="str">
        <f t="shared" si="16"/>
        <v>0</v>
      </c>
      <c r="AL17" s="160">
        <f t="shared" si="17"/>
        <v>63.75</v>
      </c>
    </row>
    <row r="18" spans="1:38">
      <c r="A18" s="190" t="s">
        <v>475</v>
      </c>
      <c r="B18" s="189">
        <v>7.9</v>
      </c>
      <c r="C18" s="177">
        <f t="shared" si="0"/>
        <v>10.125</v>
      </c>
      <c r="D18" s="107">
        <v>1</v>
      </c>
      <c r="E18" s="180">
        <f t="shared" si="1"/>
        <v>1.5</v>
      </c>
      <c r="F18" s="107">
        <v>46.4</v>
      </c>
      <c r="G18" s="107">
        <f t="shared" si="2"/>
        <v>13.5</v>
      </c>
      <c r="H18" s="180">
        <v>1</v>
      </c>
      <c r="I18" s="180">
        <f t="shared" si="3"/>
        <v>1.5</v>
      </c>
      <c r="J18" s="187">
        <v>-6.6E-3</v>
      </c>
      <c r="K18" s="181">
        <f t="shared" si="4"/>
        <v>2.5</v>
      </c>
      <c r="L18" s="182">
        <v>1.504835863042711</v>
      </c>
      <c r="M18" s="188">
        <f t="shared" si="5"/>
        <v>5</v>
      </c>
      <c r="N18" s="107">
        <v>20.7</v>
      </c>
      <c r="O18" s="107">
        <f>IF(N18&gt;QUARTILE($N$4:$N$20,3),$B$54,IF(AND(N18&lt;=QUARTILE($N$4:$N$20,3),N18&gt;QUARTILE(N18:$N$20,2)),$B$53,IF(AND(N18&lt;=QUARTILE($N$4:$N$20,2),N18&gt;QUARTILE($N$4:$N$20,1)),$B$52,$B$51)))</f>
        <v>3.375</v>
      </c>
      <c r="P18" s="40">
        <v>0</v>
      </c>
      <c r="Q18" s="107" t="str">
        <f t="shared" si="6"/>
        <v>0</v>
      </c>
      <c r="R18" s="187">
        <v>9.4200000000000006E-2</v>
      </c>
      <c r="S18" s="181" t="str">
        <f t="shared" si="7"/>
        <v>6,75</v>
      </c>
      <c r="T18" s="184">
        <v>0</v>
      </c>
      <c r="U18" s="184" t="str">
        <f t="shared" si="8"/>
        <v>0</v>
      </c>
      <c r="V18" s="187">
        <v>5.8099999999999999E-2</v>
      </c>
      <c r="W18" s="181" t="str">
        <f t="shared" si="9"/>
        <v>10,125</v>
      </c>
      <c r="X18" s="184">
        <v>1</v>
      </c>
      <c r="Y18" s="183">
        <f t="shared" si="10"/>
        <v>1.5</v>
      </c>
      <c r="Z18" s="187">
        <v>3.4300000000000004E-2</v>
      </c>
      <c r="AA18" s="181" t="str">
        <f t="shared" si="11"/>
        <v>10,125</v>
      </c>
      <c r="AB18" s="184">
        <v>1</v>
      </c>
      <c r="AC18" s="183">
        <f t="shared" si="12"/>
        <v>1.5</v>
      </c>
      <c r="AD18" s="186">
        <v>1.0617371504202018</v>
      </c>
      <c r="AE18" s="191">
        <f t="shared" si="13"/>
        <v>2.25</v>
      </c>
      <c r="AF18" s="184">
        <v>1</v>
      </c>
      <c r="AG18" s="183">
        <f t="shared" si="14"/>
        <v>0.5</v>
      </c>
      <c r="AH18" s="182">
        <v>0.36842684198072484</v>
      </c>
      <c r="AI18" s="181">
        <f t="shared" si="15"/>
        <v>9</v>
      </c>
      <c r="AJ18" s="180">
        <v>1</v>
      </c>
      <c r="AK18" s="39">
        <f t="shared" si="16"/>
        <v>1</v>
      </c>
      <c r="AL18" s="160">
        <f t="shared" si="17"/>
        <v>80.25</v>
      </c>
    </row>
    <row r="19" spans="1:38">
      <c r="A19" s="190" t="s">
        <v>474</v>
      </c>
      <c r="B19" s="189">
        <v>0.5</v>
      </c>
      <c r="C19" s="177">
        <f t="shared" si="0"/>
        <v>13.5</v>
      </c>
      <c r="D19" s="107">
        <v>1</v>
      </c>
      <c r="E19" s="180">
        <f t="shared" si="1"/>
        <v>1.5</v>
      </c>
      <c r="F19" s="107">
        <v>-9</v>
      </c>
      <c r="G19" s="107">
        <f t="shared" si="2"/>
        <v>3.375</v>
      </c>
      <c r="H19" s="180">
        <v>0</v>
      </c>
      <c r="I19" s="180" t="str">
        <f t="shared" si="3"/>
        <v>0</v>
      </c>
      <c r="J19" s="187">
        <v>6.5609000000000002</v>
      </c>
      <c r="K19" s="181">
        <f t="shared" si="4"/>
        <v>5</v>
      </c>
      <c r="L19" s="182">
        <v>1.0409258765751703</v>
      </c>
      <c r="M19" s="188">
        <f t="shared" si="5"/>
        <v>5</v>
      </c>
      <c r="N19" s="107">
        <v>136.66999999999999</v>
      </c>
      <c r="O19" s="107">
        <f>IF(N19&gt;QUARTILE($N$4:$N$20,3),$B$54,IF(AND(N19&lt;=QUARTILE($N$4:$N$20,3),N19&gt;QUARTILE(N19:$N$20,2)),$B$53,IF(AND(N19&lt;=QUARTILE($N$4:$N$20,2),N19&gt;QUARTILE($N$4:$N$20,1)),$B$52,$B$51)))</f>
        <v>1.125</v>
      </c>
      <c r="P19" s="40">
        <v>0</v>
      </c>
      <c r="Q19" s="107" t="str">
        <f t="shared" si="6"/>
        <v>0</v>
      </c>
      <c r="R19" s="187">
        <v>2.1600000000000001E-2</v>
      </c>
      <c r="S19" s="181" t="str">
        <f t="shared" si="7"/>
        <v>4,5</v>
      </c>
      <c r="T19" s="184">
        <v>1</v>
      </c>
      <c r="U19" s="184">
        <f t="shared" si="8"/>
        <v>1</v>
      </c>
      <c r="V19" s="187">
        <v>9.98E-2</v>
      </c>
      <c r="W19" s="181" t="str">
        <f t="shared" si="9"/>
        <v>13,5</v>
      </c>
      <c r="X19" s="184">
        <v>1</v>
      </c>
      <c r="Y19" s="183">
        <f t="shared" si="10"/>
        <v>1.5</v>
      </c>
      <c r="Z19" s="187">
        <v>7.4000000000000003E-3</v>
      </c>
      <c r="AA19" s="181" t="str">
        <f t="shared" si="11"/>
        <v>6,75</v>
      </c>
      <c r="AB19" s="184">
        <v>1</v>
      </c>
      <c r="AC19" s="183">
        <f t="shared" si="12"/>
        <v>1.5</v>
      </c>
      <c r="AD19" s="186">
        <v>1.1108693099534228</v>
      </c>
      <c r="AE19" s="185">
        <f t="shared" si="13"/>
        <v>3.375</v>
      </c>
      <c r="AF19" s="184">
        <v>1</v>
      </c>
      <c r="AG19" s="183">
        <f t="shared" si="14"/>
        <v>0.5</v>
      </c>
      <c r="AH19" s="182">
        <v>8.5137961759557484E-2</v>
      </c>
      <c r="AI19" s="181">
        <f t="shared" si="15"/>
        <v>2.25</v>
      </c>
      <c r="AJ19" s="180">
        <v>1</v>
      </c>
      <c r="AK19" s="39">
        <f t="shared" si="16"/>
        <v>1</v>
      </c>
      <c r="AL19" s="160">
        <f t="shared" si="17"/>
        <v>65.375</v>
      </c>
    </row>
    <row r="20" spans="1:38" ht="15.75" thickBot="1">
      <c r="A20" s="179" t="s">
        <v>473</v>
      </c>
      <c r="B20" s="178">
        <v>6.5</v>
      </c>
      <c r="C20" s="177">
        <f t="shared" si="0"/>
        <v>6.75</v>
      </c>
      <c r="D20" s="175">
        <v>1</v>
      </c>
      <c r="E20" s="167">
        <f t="shared" si="1"/>
        <v>1.5</v>
      </c>
      <c r="F20" s="175">
        <v>7.8</v>
      </c>
      <c r="G20" s="107">
        <f t="shared" si="2"/>
        <v>10.125</v>
      </c>
      <c r="H20" s="167">
        <v>1</v>
      </c>
      <c r="I20" s="167">
        <f t="shared" si="3"/>
        <v>1.5</v>
      </c>
      <c r="J20" s="174">
        <v>-8.9999999999999993E-3</v>
      </c>
      <c r="K20" s="168">
        <f t="shared" si="4"/>
        <v>1.25</v>
      </c>
      <c r="L20" s="169">
        <v>0.3641378612277949</v>
      </c>
      <c r="M20" s="176">
        <f t="shared" si="5"/>
        <v>2.5</v>
      </c>
      <c r="N20" s="175">
        <v>105.91</v>
      </c>
      <c r="O20" s="175">
        <f>IF(N20&gt;QUARTILE($N$4:$N$20,3),$B$54,IF(AND(N20&lt;=QUARTILE($N$4:$N$20,3),N20&gt;QUARTILE(N20:$N$20,2)),$B$53,IF(AND(N20&lt;=QUARTILE($N$4:$N$20,2),N20&gt;QUARTILE($N$4:$N$20,1)),$B$52,$B$51)))</f>
        <v>4.5</v>
      </c>
      <c r="P20" s="131">
        <v>0</v>
      </c>
      <c r="Q20" s="175" t="str">
        <f t="shared" si="6"/>
        <v>0</v>
      </c>
      <c r="R20" s="174">
        <v>0.13350000000000001</v>
      </c>
      <c r="S20" s="168" t="str">
        <f t="shared" si="7"/>
        <v>6,75</v>
      </c>
      <c r="T20" s="171">
        <v>1</v>
      </c>
      <c r="U20" s="171">
        <f t="shared" si="8"/>
        <v>1</v>
      </c>
      <c r="V20" s="174">
        <v>7.3200000000000001E-2</v>
      </c>
      <c r="W20" s="168" t="str">
        <f t="shared" si="9"/>
        <v>10,125</v>
      </c>
      <c r="X20" s="171">
        <v>1</v>
      </c>
      <c r="Y20" s="170">
        <f t="shared" si="10"/>
        <v>1.5</v>
      </c>
      <c r="Z20" s="174">
        <v>6.6400000000000001E-2</v>
      </c>
      <c r="AA20" s="168" t="str">
        <f t="shared" si="11"/>
        <v>13,5</v>
      </c>
      <c r="AB20" s="171">
        <v>0</v>
      </c>
      <c r="AC20" s="170" t="str">
        <f t="shared" si="12"/>
        <v>0</v>
      </c>
      <c r="AD20" s="173">
        <v>1.078961113346107</v>
      </c>
      <c r="AE20" s="172">
        <f t="shared" si="13"/>
        <v>3.375</v>
      </c>
      <c r="AF20" s="171">
        <v>1</v>
      </c>
      <c r="AG20" s="170">
        <f t="shared" si="14"/>
        <v>0.5</v>
      </c>
      <c r="AH20" s="169">
        <v>0.1457170439318185</v>
      </c>
      <c r="AI20" s="168">
        <f t="shared" si="15"/>
        <v>4.5</v>
      </c>
      <c r="AJ20" s="167">
        <v>1</v>
      </c>
      <c r="AK20" s="152">
        <f t="shared" si="16"/>
        <v>1</v>
      </c>
      <c r="AL20" s="151">
        <f t="shared" si="17"/>
        <v>70.375</v>
      </c>
    </row>
    <row r="21" spans="1:38">
      <c r="A21" s="150"/>
      <c r="B21" s="14"/>
      <c r="C21" s="14"/>
      <c r="F21" s="14"/>
      <c r="G21" s="14"/>
      <c r="N21" s="14"/>
      <c r="O21" s="14"/>
      <c r="R21" s="12"/>
      <c r="S21" s="12"/>
      <c r="V21" s="12"/>
      <c r="W21" s="12"/>
      <c r="Z21" s="12"/>
      <c r="AA21" s="12"/>
    </row>
    <row r="22" spans="1:38">
      <c r="A22" s="150"/>
      <c r="B22" s="14"/>
      <c r="C22" s="14"/>
      <c r="F22" s="14"/>
      <c r="G22" s="14"/>
      <c r="N22" s="14"/>
      <c r="O22" s="14"/>
      <c r="R22" s="12"/>
      <c r="S22" s="12"/>
      <c r="V22" s="12"/>
      <c r="W22" s="12"/>
      <c r="Z22" s="12"/>
      <c r="AA22" s="12"/>
    </row>
    <row r="24" spans="1:38" ht="18.75">
      <c r="A24" s="17" t="s">
        <v>60</v>
      </c>
      <c r="B24" s="17" t="s">
        <v>59</v>
      </c>
      <c r="C24" s="17"/>
      <c r="D24" s="17"/>
      <c r="E24" s="17"/>
      <c r="F24" s="17" t="s">
        <v>58</v>
      </c>
      <c r="G24" s="17"/>
      <c r="H24" s="16"/>
      <c r="I24" s="16"/>
      <c r="J24" s="149"/>
      <c r="K24" s="16"/>
      <c r="L24" s="16" t="s">
        <v>57</v>
      </c>
      <c r="M24" s="16"/>
    </row>
    <row r="25" spans="1:38" ht="17.25">
      <c r="A25" s="11" t="s">
        <v>56</v>
      </c>
      <c r="B25" s="9">
        <v>13.5</v>
      </c>
      <c r="C25" s="9"/>
      <c r="D25" s="10"/>
      <c r="E25" s="10"/>
      <c r="F25" s="9">
        <f>L25*0.1</f>
        <v>1.5</v>
      </c>
      <c r="G25" s="9"/>
      <c r="H25" s="8"/>
      <c r="I25" s="8"/>
      <c r="J25" s="8"/>
      <c r="K25" s="8"/>
      <c r="L25" s="9">
        <v>15</v>
      </c>
      <c r="M25" s="9"/>
    </row>
    <row r="26" spans="1:38">
      <c r="A26" t="s">
        <v>225</v>
      </c>
      <c r="B26" s="3">
        <f>B25*0.25</f>
        <v>3.375</v>
      </c>
      <c r="C26" s="3"/>
      <c r="D26" s="3"/>
      <c r="E26" s="3"/>
      <c r="F26" s="3" t="s">
        <v>7</v>
      </c>
      <c r="G26" s="3"/>
      <c r="H26">
        <v>1.5</v>
      </c>
    </row>
    <row r="27" spans="1:38">
      <c r="A27" t="s">
        <v>224</v>
      </c>
      <c r="B27" s="3">
        <f>B25*0.5</f>
        <v>6.75</v>
      </c>
      <c r="C27" s="3"/>
      <c r="D27" s="3"/>
      <c r="E27" s="3"/>
      <c r="F27" s="3" t="s">
        <v>4</v>
      </c>
      <c r="G27" s="3"/>
      <c r="H27">
        <v>0</v>
      </c>
    </row>
    <row r="28" spans="1:38">
      <c r="A28" t="s">
        <v>223</v>
      </c>
      <c r="B28" s="3">
        <f>B25*0.75</f>
        <v>10.125</v>
      </c>
      <c r="C28" s="3"/>
      <c r="D28" s="3"/>
      <c r="E28" s="3"/>
      <c r="F28" s="3"/>
      <c r="G28" s="3"/>
    </row>
    <row r="29" spans="1:38">
      <c r="A29" t="s">
        <v>222</v>
      </c>
      <c r="B29" s="3">
        <f>B25*1</f>
        <v>13.5</v>
      </c>
      <c r="C29" s="3"/>
      <c r="D29" s="3"/>
      <c r="E29" s="3"/>
      <c r="F29" s="3"/>
      <c r="G29" s="3"/>
    </row>
    <row r="30" spans="1:38">
      <c r="B30" s="3"/>
      <c r="C30" s="3"/>
      <c r="D30" s="3"/>
      <c r="E30" s="3"/>
      <c r="F30" s="3"/>
      <c r="G30" s="3"/>
    </row>
    <row r="31" spans="1:38" ht="17.25">
      <c r="A31" s="11" t="s">
        <v>51</v>
      </c>
      <c r="B31" s="9">
        <v>13.5</v>
      </c>
      <c r="C31" s="3"/>
      <c r="D31" s="3"/>
      <c r="E31" s="3"/>
      <c r="F31" s="3"/>
      <c r="G31" s="3"/>
    </row>
    <row r="32" spans="1:38">
      <c r="A32" t="s">
        <v>50</v>
      </c>
      <c r="B32" s="3">
        <f>B31*0.25</f>
        <v>3.375</v>
      </c>
      <c r="C32" s="9"/>
      <c r="D32" s="10"/>
      <c r="E32" s="10"/>
      <c r="F32" s="9">
        <f>L32*0.1</f>
        <v>1.5</v>
      </c>
      <c r="G32" s="9"/>
      <c r="H32" s="8"/>
      <c r="I32" s="8"/>
      <c r="J32" s="8"/>
      <c r="K32" s="8"/>
      <c r="L32" s="9">
        <v>15</v>
      </c>
      <c r="M32" s="9"/>
    </row>
    <row r="33" spans="1:13">
      <c r="A33" t="s">
        <v>221</v>
      </c>
      <c r="B33" s="3">
        <f>B31*0.5</f>
        <v>6.75</v>
      </c>
      <c r="C33" s="3"/>
      <c r="D33" s="3"/>
      <c r="E33" s="3"/>
      <c r="F33" s="3" t="s">
        <v>7</v>
      </c>
      <c r="G33" s="3"/>
      <c r="H33">
        <v>1.5</v>
      </c>
    </row>
    <row r="34" spans="1:13">
      <c r="A34" t="s">
        <v>220</v>
      </c>
      <c r="B34" s="3">
        <f>B31*0.75</f>
        <v>10.125</v>
      </c>
      <c r="C34" s="3"/>
      <c r="D34" s="3"/>
      <c r="E34" s="3"/>
      <c r="F34" s="3" t="s">
        <v>4</v>
      </c>
      <c r="G34" s="3"/>
      <c r="H34">
        <v>0</v>
      </c>
    </row>
    <row r="35" spans="1:13">
      <c r="A35" t="s">
        <v>219</v>
      </c>
      <c r="B35" s="3">
        <f>B31*1</f>
        <v>13.5</v>
      </c>
      <c r="C35" s="3"/>
      <c r="D35" s="3"/>
      <c r="E35" s="3"/>
      <c r="F35" s="3"/>
      <c r="G35" s="3"/>
    </row>
    <row r="36" spans="1:13">
      <c r="B36" s="3"/>
      <c r="C36" s="3"/>
      <c r="D36" s="3"/>
      <c r="E36" s="3"/>
      <c r="F36" s="3"/>
      <c r="G36" s="3"/>
    </row>
    <row r="37" spans="1:13">
      <c r="B37" s="3"/>
      <c r="C37" s="3"/>
      <c r="D37" s="3"/>
      <c r="E37" s="3"/>
      <c r="F37" s="3"/>
      <c r="G37" s="3"/>
    </row>
    <row r="38" spans="1:13" ht="17.25">
      <c r="A38" s="11" t="s">
        <v>46</v>
      </c>
      <c r="B38" s="9">
        <v>5</v>
      </c>
      <c r="C38" s="5"/>
      <c r="D38" s="3"/>
      <c r="E38" s="3"/>
      <c r="F38" s="3"/>
      <c r="G38" s="3"/>
      <c r="L38" s="2">
        <v>5</v>
      </c>
      <c r="M38" s="2"/>
    </row>
    <row r="39" spans="1:13">
      <c r="A39" t="s">
        <v>510</v>
      </c>
      <c r="B39" s="3">
        <f>B38*0.25</f>
        <v>1.25</v>
      </c>
      <c r="C39" s="3"/>
      <c r="D39" s="3" t="s">
        <v>8</v>
      </c>
      <c r="E39" s="54">
        <f>QUARTILE(J4:J20,1)</f>
        <v>-8.9999999999999993E-3</v>
      </c>
      <c r="F39" s="3"/>
      <c r="G39" s="3"/>
    </row>
    <row r="40" spans="1:13">
      <c r="A40" t="s">
        <v>509</v>
      </c>
      <c r="B40" s="3">
        <f>B38*0.5</f>
        <v>2.5</v>
      </c>
      <c r="C40" s="3"/>
      <c r="D40" s="3" t="s">
        <v>5</v>
      </c>
      <c r="E40" s="54">
        <f>QUARTILE(J4:J20,2)</f>
        <v>1.47E-2</v>
      </c>
      <c r="F40" s="3"/>
      <c r="G40" s="3"/>
    </row>
    <row r="41" spans="1:13">
      <c r="A41" t="s">
        <v>508</v>
      </c>
      <c r="B41" s="3">
        <f>B38*0.75</f>
        <v>3.75</v>
      </c>
      <c r="C41" s="3"/>
      <c r="D41" s="3" t="s">
        <v>2</v>
      </c>
      <c r="E41" s="54">
        <f>QUARTILE(J4:J20,3)</f>
        <v>4.4299999999999999E-2</v>
      </c>
      <c r="F41" s="3"/>
      <c r="G41" s="3"/>
    </row>
    <row r="42" spans="1:13">
      <c r="A42" t="s">
        <v>507</v>
      </c>
      <c r="B42" s="3">
        <f>B38*1</f>
        <v>5</v>
      </c>
      <c r="C42" s="3"/>
      <c r="D42" s="3" t="s">
        <v>383</v>
      </c>
      <c r="E42" s="3"/>
      <c r="F42" s="3"/>
      <c r="G42" s="3"/>
    </row>
    <row r="43" spans="1:13">
      <c r="B43" s="3"/>
      <c r="C43" s="3"/>
      <c r="D43" s="3"/>
      <c r="E43" s="3"/>
      <c r="F43" s="3"/>
      <c r="G43" s="3"/>
    </row>
    <row r="44" spans="1:13" ht="17.25">
      <c r="A44" s="11" t="s">
        <v>41</v>
      </c>
      <c r="B44" s="9">
        <v>5</v>
      </c>
      <c r="C44" s="5"/>
      <c r="D44" s="3"/>
      <c r="E44" s="3"/>
      <c r="F44" s="3"/>
      <c r="G44" s="3"/>
      <c r="L44" s="2">
        <v>5</v>
      </c>
      <c r="M44" s="2"/>
    </row>
    <row r="45" spans="1:13">
      <c r="A45" t="s">
        <v>506</v>
      </c>
      <c r="B45" s="3">
        <f>B44*0.25</f>
        <v>1.25</v>
      </c>
      <c r="C45" s="3"/>
      <c r="D45" s="3" t="s">
        <v>8</v>
      </c>
      <c r="E45" s="54">
        <f>QUARTILE(L4:L20,1)</f>
        <v>3.321919495491945E-2</v>
      </c>
      <c r="F45" s="3"/>
      <c r="G45" s="3"/>
    </row>
    <row r="46" spans="1:13">
      <c r="A46" t="s">
        <v>505</v>
      </c>
      <c r="B46" s="3">
        <f>B44*0.5</f>
        <v>2.5</v>
      </c>
      <c r="C46" s="3"/>
      <c r="D46" s="3" t="s">
        <v>5</v>
      </c>
      <c r="E46" s="54">
        <f>QUARTILE(L4:L20,2)</f>
        <v>0.3641378612277949</v>
      </c>
      <c r="F46" s="3"/>
      <c r="G46" s="3"/>
    </row>
    <row r="47" spans="1:13">
      <c r="A47" t="s">
        <v>504</v>
      </c>
      <c r="B47" s="3">
        <f>B44*0.75</f>
        <v>3.75</v>
      </c>
      <c r="C47" s="3"/>
      <c r="D47" s="3" t="s">
        <v>2</v>
      </c>
      <c r="E47" s="54">
        <f>QUARTILE(L4:L20,3)</f>
        <v>0.83102574461052559</v>
      </c>
      <c r="F47" s="3"/>
      <c r="G47" s="3"/>
    </row>
    <row r="48" spans="1:13">
      <c r="A48" t="s">
        <v>503</v>
      </c>
      <c r="B48" s="3">
        <f>B44*1</f>
        <v>5</v>
      </c>
      <c r="C48" s="3"/>
      <c r="D48" s="3" t="s">
        <v>383</v>
      </c>
      <c r="E48" s="3"/>
      <c r="F48" s="3"/>
      <c r="G48" s="3"/>
    </row>
    <row r="49" spans="1:13">
      <c r="B49" s="3"/>
      <c r="C49" s="3"/>
      <c r="D49" s="3"/>
      <c r="E49" s="3"/>
      <c r="F49" s="3"/>
      <c r="G49" s="3"/>
    </row>
    <row r="50" spans="1:13" ht="17.25">
      <c r="A50" s="6" t="s">
        <v>36</v>
      </c>
      <c r="B50" s="9">
        <v>4.5</v>
      </c>
      <c r="C50" s="5"/>
      <c r="D50" s="5"/>
      <c r="E50" s="5"/>
      <c r="F50" s="5"/>
      <c r="G50" s="5"/>
      <c r="H50" s="7">
        <f>L50*0.1</f>
        <v>0.5</v>
      </c>
      <c r="I50" s="7"/>
      <c r="J50" s="7"/>
      <c r="K50" s="7"/>
      <c r="L50" s="5">
        <v>5</v>
      </c>
      <c r="M50" s="5"/>
    </row>
    <row r="51" spans="1:13">
      <c r="A51" t="s">
        <v>502</v>
      </c>
      <c r="B51" s="3">
        <v>4.5</v>
      </c>
      <c r="C51" s="3"/>
      <c r="D51" s="3" t="s">
        <v>8</v>
      </c>
      <c r="E51" s="3">
        <f>QUARTILE(N4:N20,1)</f>
        <v>16.052499999999998</v>
      </c>
      <c r="F51" s="3"/>
      <c r="G51" s="3"/>
      <c r="H51" s="3" t="s">
        <v>7</v>
      </c>
      <c r="I51" s="3"/>
      <c r="J51">
        <v>0.5</v>
      </c>
    </row>
    <row r="52" spans="1:13">
      <c r="A52" t="s">
        <v>501</v>
      </c>
      <c r="B52" s="3">
        <v>3.375</v>
      </c>
      <c r="C52" s="3"/>
      <c r="D52" s="3" t="s">
        <v>5</v>
      </c>
      <c r="E52" s="3">
        <f>QUARTILE(N4:N20,2)</f>
        <v>71.344999999999999</v>
      </c>
      <c r="F52" s="3"/>
      <c r="G52" s="3"/>
      <c r="H52" s="3" t="s">
        <v>4</v>
      </c>
      <c r="I52" s="3"/>
      <c r="J52">
        <v>0</v>
      </c>
    </row>
    <row r="53" spans="1:13">
      <c r="A53" t="s">
        <v>500</v>
      </c>
      <c r="B53" s="3">
        <v>2.25</v>
      </c>
      <c r="C53" s="3"/>
      <c r="D53" s="3" t="s">
        <v>2</v>
      </c>
      <c r="E53" s="3">
        <f>QUARTILE(N4:N20,3)</f>
        <v>123.02000000000001</v>
      </c>
      <c r="F53" s="3"/>
      <c r="G53" s="3"/>
    </row>
    <row r="54" spans="1:13">
      <c r="A54" t="s">
        <v>499</v>
      </c>
      <c r="B54" s="3">
        <v>1.125</v>
      </c>
      <c r="C54" s="3"/>
      <c r="D54" s="3" t="s">
        <v>383</v>
      </c>
      <c r="E54" s="3"/>
      <c r="F54" s="3"/>
      <c r="G54" s="3"/>
    </row>
    <row r="55" spans="1:13">
      <c r="B55" s="3"/>
      <c r="C55" s="3"/>
      <c r="D55" s="3"/>
      <c r="E55" s="3"/>
      <c r="F55" s="3"/>
      <c r="G55" s="3"/>
    </row>
    <row r="56" spans="1:13" ht="17.25">
      <c r="A56" s="6" t="s">
        <v>31</v>
      </c>
      <c r="B56" s="9">
        <v>9</v>
      </c>
      <c r="C56" s="5"/>
      <c r="D56" s="5"/>
      <c r="E56" s="5"/>
      <c r="F56" s="5">
        <f>L56*0.1</f>
        <v>1</v>
      </c>
      <c r="G56" s="5"/>
      <c r="H56" s="7"/>
      <c r="I56" s="7"/>
      <c r="J56" s="7"/>
      <c r="K56" s="7"/>
      <c r="L56" s="5">
        <v>10</v>
      </c>
      <c r="M56" s="5"/>
    </row>
    <row r="57" spans="1:13">
      <c r="A57" t="s">
        <v>460</v>
      </c>
      <c r="B57" s="3">
        <f>B56*0.25</f>
        <v>2.25</v>
      </c>
      <c r="C57" s="3"/>
      <c r="D57" s="3"/>
      <c r="E57" s="54"/>
      <c r="F57" s="3" t="s">
        <v>7</v>
      </c>
      <c r="G57" s="3"/>
      <c r="H57">
        <v>1</v>
      </c>
    </row>
    <row r="58" spans="1:13">
      <c r="A58" t="s">
        <v>459</v>
      </c>
      <c r="B58" s="3">
        <f>B56*0.5</f>
        <v>4.5</v>
      </c>
      <c r="C58" s="3"/>
      <c r="D58" s="3"/>
      <c r="E58" s="54"/>
      <c r="F58" s="3" t="s">
        <v>4</v>
      </c>
      <c r="G58" s="3"/>
      <c r="H58">
        <v>0</v>
      </c>
    </row>
    <row r="59" spans="1:13">
      <c r="A59" t="s">
        <v>458</v>
      </c>
      <c r="B59" s="3">
        <f>B56*0.75</f>
        <v>6.75</v>
      </c>
      <c r="C59" s="3"/>
      <c r="D59" s="3"/>
      <c r="E59" s="54"/>
      <c r="F59" s="3"/>
      <c r="G59" s="3"/>
    </row>
    <row r="60" spans="1:13">
      <c r="A60" t="s">
        <v>457</v>
      </c>
      <c r="B60" s="3">
        <f>B56*1</f>
        <v>9</v>
      </c>
      <c r="C60" s="3"/>
      <c r="D60" s="3"/>
      <c r="E60" s="3"/>
      <c r="F60" s="3"/>
      <c r="G60" s="3"/>
    </row>
    <row r="61" spans="1:13">
      <c r="B61" s="3"/>
      <c r="C61" s="3"/>
      <c r="D61" s="3"/>
      <c r="E61" s="3"/>
      <c r="F61" s="3"/>
      <c r="G61" s="3"/>
    </row>
    <row r="62" spans="1:13" ht="17.25">
      <c r="A62" s="6" t="s">
        <v>26</v>
      </c>
      <c r="B62" s="9">
        <v>13.5</v>
      </c>
      <c r="C62" s="5"/>
      <c r="D62" s="5"/>
      <c r="E62" s="5"/>
      <c r="F62" s="5">
        <f>L62*0.1</f>
        <v>1.5</v>
      </c>
      <c r="G62" s="5"/>
      <c r="H62" s="7"/>
      <c r="I62" s="7"/>
      <c r="J62" s="7"/>
      <c r="K62" s="7"/>
      <c r="L62" s="5">
        <v>15</v>
      </c>
      <c r="M62" s="5"/>
    </row>
    <row r="63" spans="1:13">
      <c r="A63" t="s">
        <v>456</v>
      </c>
      <c r="B63" s="3">
        <f>B62*0.25</f>
        <v>3.375</v>
      </c>
      <c r="C63" s="3"/>
      <c r="D63" s="3"/>
      <c r="E63" s="54"/>
      <c r="F63" s="3" t="s">
        <v>7</v>
      </c>
      <c r="G63" s="3"/>
      <c r="H63">
        <v>1.5</v>
      </c>
    </row>
    <row r="64" spans="1:13">
      <c r="A64" t="s">
        <v>455</v>
      </c>
      <c r="B64" s="3">
        <f>B62*0.5</f>
        <v>6.75</v>
      </c>
      <c r="C64" s="3"/>
      <c r="D64" s="3"/>
      <c r="E64" s="54"/>
      <c r="F64" s="3" t="s">
        <v>4</v>
      </c>
      <c r="G64" s="3"/>
      <c r="H64">
        <v>0</v>
      </c>
    </row>
    <row r="65" spans="1:13">
      <c r="A65" t="s">
        <v>200</v>
      </c>
      <c r="B65" s="3">
        <f>B62*0.75</f>
        <v>10.125</v>
      </c>
      <c r="C65" s="3"/>
      <c r="D65" s="3"/>
      <c r="E65" s="54"/>
      <c r="F65" s="3"/>
      <c r="G65" s="3"/>
    </row>
    <row r="66" spans="1:13">
      <c r="A66" t="s">
        <v>199</v>
      </c>
      <c r="B66" s="3">
        <f>B62*1</f>
        <v>13.5</v>
      </c>
      <c r="C66" s="3"/>
      <c r="D66" s="3"/>
      <c r="E66" s="3"/>
      <c r="F66" s="3"/>
      <c r="G66" s="3"/>
    </row>
    <row r="67" spans="1:13">
      <c r="B67" s="3"/>
      <c r="C67" s="3"/>
      <c r="D67" s="3"/>
      <c r="E67" s="3"/>
      <c r="F67" s="3"/>
      <c r="G67" s="3"/>
    </row>
    <row r="68" spans="1:13" ht="17.25">
      <c r="A68" s="6" t="s">
        <v>21</v>
      </c>
      <c r="B68" s="9">
        <v>13.5</v>
      </c>
      <c r="C68" s="5"/>
      <c r="D68" s="5"/>
      <c r="E68" s="5"/>
      <c r="F68" s="5">
        <f>L68*0.1</f>
        <v>1.5</v>
      </c>
      <c r="G68" s="5"/>
      <c r="H68" s="7"/>
      <c r="I68" s="7"/>
      <c r="J68" s="7"/>
      <c r="K68" s="7"/>
      <c r="L68" s="5">
        <v>15</v>
      </c>
      <c r="M68" s="5"/>
    </row>
    <row r="69" spans="1:13">
      <c r="A69" t="s">
        <v>454</v>
      </c>
      <c r="B69" s="3">
        <f>B68*0.25</f>
        <v>3.375</v>
      </c>
      <c r="C69" s="3"/>
      <c r="D69" s="3"/>
      <c r="E69" s="54"/>
      <c r="F69" s="3" t="s">
        <v>7</v>
      </c>
      <c r="G69" s="3"/>
      <c r="H69">
        <v>1.5</v>
      </c>
    </row>
    <row r="70" spans="1:13">
      <c r="A70" t="s">
        <v>453</v>
      </c>
      <c r="B70" s="3">
        <f>B68*0.5</f>
        <v>6.75</v>
      </c>
      <c r="C70" s="3"/>
      <c r="D70" s="3"/>
      <c r="E70" s="54"/>
      <c r="F70" s="3" t="s">
        <v>4</v>
      </c>
      <c r="G70" s="3"/>
      <c r="H70">
        <v>0</v>
      </c>
    </row>
    <row r="71" spans="1:13">
      <c r="A71" t="s">
        <v>196</v>
      </c>
      <c r="B71" s="3">
        <f>B68*0.75</f>
        <v>10.125</v>
      </c>
      <c r="C71" s="3"/>
      <c r="D71" s="3"/>
      <c r="E71" s="54"/>
      <c r="F71" s="3"/>
      <c r="G71" s="3"/>
    </row>
    <row r="72" spans="1:13">
      <c r="A72" t="s">
        <v>195</v>
      </c>
      <c r="B72" s="3">
        <f>B68*1</f>
        <v>13.5</v>
      </c>
      <c r="C72" s="3"/>
      <c r="D72" s="3"/>
      <c r="E72" s="3"/>
      <c r="F72" s="3"/>
      <c r="G72" s="3"/>
    </row>
    <row r="73" spans="1:13">
      <c r="B73" s="3"/>
      <c r="C73" s="3"/>
      <c r="D73" s="3"/>
      <c r="E73" s="3"/>
      <c r="F73" s="3"/>
      <c r="G73" s="3"/>
    </row>
    <row r="74" spans="1:13" ht="17.25">
      <c r="A74" s="6" t="s">
        <v>16</v>
      </c>
      <c r="B74" s="9">
        <v>4.5</v>
      </c>
      <c r="C74" s="5"/>
      <c r="D74" s="5"/>
      <c r="E74" s="5"/>
      <c r="F74" s="5"/>
      <c r="G74" s="5"/>
      <c r="H74" s="7"/>
      <c r="I74" s="7">
        <f>L74*0.1</f>
        <v>0.5</v>
      </c>
      <c r="J74" s="7"/>
      <c r="K74" s="7"/>
      <c r="L74" s="5">
        <v>5</v>
      </c>
      <c r="M74" s="5"/>
    </row>
    <row r="75" spans="1:13">
      <c r="A75" t="s">
        <v>498</v>
      </c>
      <c r="B75" s="3">
        <f>B74*0.25</f>
        <v>1.125</v>
      </c>
      <c r="C75" s="3"/>
      <c r="D75" s="3" t="s">
        <v>8</v>
      </c>
      <c r="E75" s="3">
        <f>QUARTILE(AD4:AD20,1)</f>
        <v>1.0229593766696419</v>
      </c>
      <c r="F75" s="3"/>
      <c r="G75" s="3"/>
      <c r="I75" s="3" t="s">
        <v>7</v>
      </c>
      <c r="J75" s="3"/>
      <c r="K75">
        <v>0.5</v>
      </c>
    </row>
    <row r="76" spans="1:13">
      <c r="A76" t="s">
        <v>497</v>
      </c>
      <c r="B76" s="3">
        <f>B74*0.5</f>
        <v>2.25</v>
      </c>
      <c r="C76" s="3"/>
      <c r="D76" s="3" t="s">
        <v>5</v>
      </c>
      <c r="E76" s="3">
        <f>QUARTILE(AD4:AD20,2)</f>
        <v>1.0677818143279698</v>
      </c>
      <c r="F76" s="3"/>
      <c r="G76" s="3"/>
      <c r="I76" s="3" t="s">
        <v>4</v>
      </c>
      <c r="J76" s="3"/>
      <c r="K76">
        <v>0</v>
      </c>
    </row>
    <row r="77" spans="1:13">
      <c r="A77" t="s">
        <v>496</v>
      </c>
      <c r="B77" s="3">
        <f>B74*0.75</f>
        <v>3.375</v>
      </c>
      <c r="C77" s="3"/>
      <c r="D77" s="3" t="s">
        <v>2</v>
      </c>
      <c r="E77" s="3">
        <f>QUARTILE(AD4:AD20,3)</f>
        <v>1.1108693099534228</v>
      </c>
      <c r="F77" s="3"/>
      <c r="G77" s="3"/>
    </row>
    <row r="78" spans="1:13">
      <c r="A78" t="s">
        <v>495</v>
      </c>
      <c r="B78" s="3">
        <f>B74*1</f>
        <v>4.5</v>
      </c>
      <c r="C78" s="3"/>
      <c r="D78" s="3" t="s">
        <v>383</v>
      </c>
      <c r="E78" s="3"/>
      <c r="F78" s="3"/>
      <c r="G78" s="3"/>
    </row>
    <row r="79" spans="1:13">
      <c r="B79" s="3"/>
      <c r="C79" s="3"/>
      <c r="D79" s="3"/>
      <c r="E79" s="3"/>
      <c r="F79" s="3"/>
      <c r="G79" s="3"/>
    </row>
    <row r="80" spans="1:13" ht="17.25">
      <c r="A80" s="6" t="s">
        <v>11</v>
      </c>
      <c r="B80" s="9">
        <v>9</v>
      </c>
      <c r="C80" s="5"/>
      <c r="D80" s="5"/>
      <c r="E80" s="5"/>
      <c r="F80" s="5"/>
      <c r="G80" s="5"/>
      <c r="H80" s="5"/>
      <c r="I80" s="5">
        <f>L80*0.1</f>
        <v>1</v>
      </c>
      <c r="J80" s="5"/>
      <c r="K80" s="5"/>
      <c r="L80" s="5">
        <v>10</v>
      </c>
      <c r="M80" s="5"/>
    </row>
    <row r="81" spans="1:12">
      <c r="A81" t="s">
        <v>494</v>
      </c>
      <c r="B81" s="3">
        <f>B80*0.25</f>
        <v>2.25</v>
      </c>
      <c r="D81" s="3" t="s">
        <v>8</v>
      </c>
      <c r="E81" s="148">
        <f>QUARTILE(AH4:AH20,1)</f>
        <v>8.5137961759557484E-2</v>
      </c>
      <c r="F81" s="3"/>
      <c r="G81" s="3"/>
      <c r="I81" s="3" t="s">
        <v>7</v>
      </c>
      <c r="J81" s="3"/>
      <c r="K81">
        <v>1</v>
      </c>
    </row>
    <row r="82" spans="1:12">
      <c r="A82" t="s">
        <v>493</v>
      </c>
      <c r="B82" s="3">
        <f>B80*0.5</f>
        <v>4.5</v>
      </c>
      <c r="D82" s="3" t="s">
        <v>5</v>
      </c>
      <c r="E82" s="148">
        <f>QUARTILE(AH4:AH20,2)</f>
        <v>0.17931414598171833</v>
      </c>
      <c r="F82" s="3"/>
      <c r="G82" s="3"/>
      <c r="I82" s="3" t="s">
        <v>4</v>
      </c>
      <c r="J82" s="3"/>
      <c r="K82">
        <v>0</v>
      </c>
    </row>
    <row r="83" spans="1:12">
      <c r="A83" t="s">
        <v>492</v>
      </c>
      <c r="B83" s="3">
        <f>B80*0.75</f>
        <v>6.75</v>
      </c>
      <c r="D83" s="3" t="s">
        <v>2</v>
      </c>
      <c r="E83" s="148">
        <f>QUARTILE(AH4:AH20,3)</f>
        <v>0.30621081902178471</v>
      </c>
      <c r="F83" s="3"/>
      <c r="G83" s="3"/>
    </row>
    <row r="84" spans="1:12">
      <c r="A84" t="s">
        <v>491</v>
      </c>
      <c r="B84" s="3">
        <f>B80*1</f>
        <v>9</v>
      </c>
      <c r="D84" s="3" t="s">
        <v>383</v>
      </c>
      <c r="F84" s="3"/>
      <c r="G84" s="3"/>
    </row>
    <row r="85" spans="1:12">
      <c r="B85" s="3"/>
    </row>
    <row r="86" spans="1:12" ht="18.75">
      <c r="B86" s="147"/>
      <c r="C86" s="147"/>
      <c r="D86" s="147" t="s">
        <v>444</v>
      </c>
      <c r="E86" s="147"/>
      <c r="F86" s="147"/>
      <c r="G86" s="147"/>
      <c r="H86" s="147"/>
      <c r="I86" s="147"/>
      <c r="J86" s="147"/>
      <c r="K86" s="147"/>
      <c r="L86" s="146">
        <f>SUM(L25:L82)</f>
        <v>100</v>
      </c>
    </row>
  </sheetData>
  <mergeCells count="1">
    <mergeCell ref="A1:AL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I42"/>
  <sheetViews>
    <sheetView workbookViewId="0">
      <selection activeCell="B3" sqref="B3"/>
    </sheetView>
  </sheetViews>
  <sheetFormatPr defaultRowHeight="15"/>
  <cols>
    <col min="1" max="1" width="9" customWidth="1"/>
    <col min="2" max="2" width="41.7109375" bestFit="1" customWidth="1"/>
    <col min="3" max="3" width="15.5703125" bestFit="1" customWidth="1"/>
    <col min="4" max="4" width="11.140625" customWidth="1"/>
    <col min="5" max="5" width="9.85546875" customWidth="1"/>
    <col min="6" max="6" width="41.7109375" bestFit="1" customWidth="1"/>
    <col min="7" max="7" width="15.85546875" bestFit="1" customWidth="1"/>
    <col min="8" max="8" width="50.140625" bestFit="1" customWidth="1"/>
    <col min="9" max="9" width="27" customWidth="1"/>
    <col min="12" max="12" width="12" customWidth="1"/>
    <col min="13" max="13" width="10.5703125" customWidth="1"/>
  </cols>
  <sheetData>
    <row r="2" spans="1:9" ht="15.75" thickBot="1"/>
    <row r="3" spans="1:9" ht="15.75" thickBot="1">
      <c r="H3" s="222" t="s">
        <v>443</v>
      </c>
      <c r="I3" s="221"/>
    </row>
    <row r="4" spans="1:9" ht="15.75" thickBot="1">
      <c r="A4" s="557" t="s">
        <v>81</v>
      </c>
      <c r="B4" s="554">
        <v>2012</v>
      </c>
      <c r="C4" s="555" t="s">
        <v>93</v>
      </c>
      <c r="E4" s="487" t="s">
        <v>81</v>
      </c>
      <c r="F4" s="553">
        <v>2013</v>
      </c>
      <c r="G4" s="556" t="s">
        <v>93</v>
      </c>
      <c r="H4" s="143" t="s">
        <v>442</v>
      </c>
      <c r="I4" s="122" t="s">
        <v>441</v>
      </c>
    </row>
    <row r="5" spans="1:9" ht="15.75" thickBot="1">
      <c r="A5" s="542">
        <v>1</v>
      </c>
      <c r="B5" s="220" t="s">
        <v>489</v>
      </c>
      <c r="C5" s="219">
        <v>86.75</v>
      </c>
      <c r="E5" s="461">
        <v>1</v>
      </c>
      <c r="F5" s="540" t="s">
        <v>479</v>
      </c>
      <c r="G5" s="488">
        <v>91.625</v>
      </c>
      <c r="H5" s="482">
        <v>7</v>
      </c>
      <c r="I5" s="217">
        <f>G5-C12</f>
        <v>20.125</v>
      </c>
    </row>
    <row r="6" spans="1:9" ht="15.75" thickBot="1">
      <c r="A6" s="542">
        <v>2</v>
      </c>
      <c r="B6" s="205" t="s">
        <v>482</v>
      </c>
      <c r="C6" s="218">
        <v>86.25</v>
      </c>
      <c r="E6" s="461">
        <v>2</v>
      </c>
      <c r="F6" s="540" t="s">
        <v>483</v>
      </c>
      <c r="G6" s="489">
        <v>90.625</v>
      </c>
      <c r="H6" s="483">
        <v>12</v>
      </c>
      <c r="I6" s="217">
        <f>G6-C19</f>
        <v>32.125</v>
      </c>
    </row>
    <row r="7" spans="1:9" ht="15.75" thickBot="1">
      <c r="A7" s="542">
        <v>3</v>
      </c>
      <c r="B7" s="190" t="s">
        <v>475</v>
      </c>
      <c r="C7" s="218">
        <v>80.25</v>
      </c>
      <c r="E7" s="461">
        <v>3</v>
      </c>
      <c r="F7" s="540" t="s">
        <v>482</v>
      </c>
      <c r="G7" s="489">
        <v>87.125</v>
      </c>
      <c r="H7" s="485">
        <v>-1</v>
      </c>
      <c r="I7" s="217">
        <f>G7-C6</f>
        <v>0.875</v>
      </c>
    </row>
    <row r="8" spans="1:9" ht="15.75" thickBot="1">
      <c r="A8" s="542">
        <v>4</v>
      </c>
      <c r="B8" s="190" t="s">
        <v>515</v>
      </c>
      <c r="C8" s="218">
        <v>79.5</v>
      </c>
      <c r="E8" s="461">
        <v>4</v>
      </c>
      <c r="F8" s="540" t="s">
        <v>481</v>
      </c>
      <c r="G8" s="489">
        <v>85.125</v>
      </c>
      <c r="H8" s="483">
        <v>3</v>
      </c>
      <c r="I8" s="217">
        <f>G8-C11</f>
        <v>11.5</v>
      </c>
    </row>
    <row r="9" spans="1:9" ht="15.75" thickBot="1">
      <c r="A9" s="542">
        <v>5</v>
      </c>
      <c r="B9" s="190" t="s">
        <v>480</v>
      </c>
      <c r="C9" s="218">
        <v>76.875</v>
      </c>
      <c r="E9" s="461">
        <v>5</v>
      </c>
      <c r="F9" s="540" t="s">
        <v>489</v>
      </c>
      <c r="G9" s="489">
        <v>84</v>
      </c>
      <c r="H9" s="484">
        <v>-4</v>
      </c>
      <c r="I9" s="217">
        <f>G9-C5</f>
        <v>-2.75</v>
      </c>
    </row>
    <row r="10" spans="1:9" ht="15.75" thickBot="1">
      <c r="A10" s="542">
        <v>6</v>
      </c>
      <c r="B10" s="190" t="s">
        <v>477</v>
      </c>
      <c r="C10" s="218">
        <v>75.75</v>
      </c>
      <c r="E10" s="461">
        <v>6</v>
      </c>
      <c r="F10" s="540" t="s">
        <v>485</v>
      </c>
      <c r="G10" s="489">
        <v>83</v>
      </c>
      <c r="H10" s="482">
        <v>7</v>
      </c>
      <c r="I10" s="217">
        <f>G10-C17</f>
        <v>20.25</v>
      </c>
    </row>
    <row r="11" spans="1:9" ht="15.75" thickBot="1">
      <c r="A11" s="542">
        <v>7</v>
      </c>
      <c r="B11" s="190" t="s">
        <v>481</v>
      </c>
      <c r="C11" s="218">
        <v>73.625</v>
      </c>
      <c r="E11" s="461">
        <v>7</v>
      </c>
      <c r="F11" s="540" t="s">
        <v>477</v>
      </c>
      <c r="G11" s="489">
        <v>81.75</v>
      </c>
      <c r="H11" s="484">
        <v>-1</v>
      </c>
      <c r="I11" s="217">
        <f>G11-C10</f>
        <v>6</v>
      </c>
    </row>
    <row r="12" spans="1:9" ht="15.75" thickBot="1">
      <c r="A12" s="542">
        <v>8</v>
      </c>
      <c r="B12" s="190" t="s">
        <v>479</v>
      </c>
      <c r="C12" s="218">
        <v>71.5</v>
      </c>
      <c r="E12" s="461">
        <v>8</v>
      </c>
      <c r="F12" s="540" t="s">
        <v>515</v>
      </c>
      <c r="G12" s="489">
        <v>78.375</v>
      </c>
      <c r="H12" s="484">
        <v>-4</v>
      </c>
      <c r="I12" s="217">
        <f>G12-C8</f>
        <v>-1.125</v>
      </c>
    </row>
    <row r="13" spans="1:9" ht="15.75" thickBot="1">
      <c r="A13" s="542">
        <v>9</v>
      </c>
      <c r="B13" s="190" t="s">
        <v>473</v>
      </c>
      <c r="C13" s="218">
        <v>70.375</v>
      </c>
      <c r="E13" s="461">
        <v>9</v>
      </c>
      <c r="F13" s="540" t="s">
        <v>473</v>
      </c>
      <c r="G13" s="489">
        <v>77.75</v>
      </c>
      <c r="H13" s="43">
        <v>0</v>
      </c>
      <c r="I13" s="217">
        <f>G13-C13</f>
        <v>7.375</v>
      </c>
    </row>
    <row r="14" spans="1:9" ht="15.75" thickBot="1">
      <c r="A14" s="542">
        <v>10</v>
      </c>
      <c r="B14" s="190" t="s">
        <v>487</v>
      </c>
      <c r="C14" s="218">
        <v>67.25</v>
      </c>
      <c r="E14" s="461">
        <v>10</v>
      </c>
      <c r="F14" s="540" t="s">
        <v>480</v>
      </c>
      <c r="G14" s="489">
        <v>74.5</v>
      </c>
      <c r="H14" s="484">
        <v>-5</v>
      </c>
      <c r="I14" s="217">
        <f>G14-C9</f>
        <v>-2.375</v>
      </c>
    </row>
    <row r="15" spans="1:9" ht="15.75" thickBot="1">
      <c r="A15" s="542">
        <v>11</v>
      </c>
      <c r="B15" s="190" t="s">
        <v>474</v>
      </c>
      <c r="C15" s="218">
        <v>65.375</v>
      </c>
      <c r="E15" s="461">
        <v>11</v>
      </c>
      <c r="F15" s="540" t="s">
        <v>476</v>
      </c>
      <c r="G15" s="489">
        <v>72.375</v>
      </c>
      <c r="H15" s="482">
        <v>1</v>
      </c>
      <c r="I15" s="217">
        <f>G15-C16</f>
        <v>8.625</v>
      </c>
    </row>
    <row r="16" spans="1:9" ht="15.75" thickBot="1">
      <c r="A16" s="542">
        <v>12</v>
      </c>
      <c r="B16" s="190" t="s">
        <v>476</v>
      </c>
      <c r="C16" s="218">
        <v>63.75</v>
      </c>
      <c r="E16" s="461">
        <v>12</v>
      </c>
      <c r="F16" s="540" t="s">
        <v>474</v>
      </c>
      <c r="G16" s="489">
        <v>66.375</v>
      </c>
      <c r="H16" s="484">
        <v>-1</v>
      </c>
      <c r="I16" s="217">
        <f>G16-C15</f>
        <v>1</v>
      </c>
    </row>
    <row r="17" spans="1:9" ht="15.75" thickBot="1">
      <c r="A17" s="542">
        <v>13</v>
      </c>
      <c r="B17" s="190" t="s">
        <v>485</v>
      </c>
      <c r="C17" s="218">
        <v>62.75</v>
      </c>
      <c r="E17" s="461">
        <v>13</v>
      </c>
      <c r="F17" s="540" t="s">
        <v>475</v>
      </c>
      <c r="G17" s="489">
        <v>64.625</v>
      </c>
      <c r="H17" s="484">
        <v>-10</v>
      </c>
      <c r="I17" s="217">
        <f>G17-C7</f>
        <v>-15.625</v>
      </c>
    </row>
    <row r="18" spans="1:9" ht="15.75" thickBot="1">
      <c r="A18" s="542">
        <v>14</v>
      </c>
      <c r="B18" s="190" t="s">
        <v>486</v>
      </c>
      <c r="C18" s="218">
        <v>58.5</v>
      </c>
      <c r="E18" s="461">
        <v>14</v>
      </c>
      <c r="F18" s="540" t="s">
        <v>487</v>
      </c>
      <c r="G18" s="489">
        <v>63.25</v>
      </c>
      <c r="H18" s="484">
        <v>-4</v>
      </c>
      <c r="I18" s="217">
        <f>G18-C14</f>
        <v>-4</v>
      </c>
    </row>
    <row r="19" spans="1:9" ht="15.75" thickBot="1">
      <c r="A19" s="542">
        <v>14</v>
      </c>
      <c r="B19" s="190" t="s">
        <v>483</v>
      </c>
      <c r="C19" s="218">
        <v>58.5</v>
      </c>
      <c r="E19" s="461">
        <v>15</v>
      </c>
      <c r="F19" s="540" t="s">
        <v>478</v>
      </c>
      <c r="G19" s="489">
        <v>56.25</v>
      </c>
      <c r="H19" s="482">
        <v>2</v>
      </c>
      <c r="I19" s="217">
        <f>G19-C21</f>
        <v>1.125</v>
      </c>
    </row>
    <row r="20" spans="1:9" ht="15.75" thickBot="1">
      <c r="A20" s="542">
        <v>16</v>
      </c>
      <c r="B20" s="190" t="s">
        <v>484</v>
      </c>
      <c r="C20" s="218">
        <v>57.375</v>
      </c>
      <c r="E20" s="461">
        <v>16</v>
      </c>
      <c r="F20" s="540" t="s">
        <v>484</v>
      </c>
      <c r="G20" s="489">
        <v>44.125</v>
      </c>
      <c r="H20" s="43">
        <v>0</v>
      </c>
      <c r="I20" s="217">
        <f>G20-C20</f>
        <v>-13.25</v>
      </c>
    </row>
    <row r="21" spans="1:9" ht="15.75" thickBot="1">
      <c r="A21" s="542">
        <v>17</v>
      </c>
      <c r="B21" s="179" t="s">
        <v>478</v>
      </c>
      <c r="C21" s="216">
        <v>55.125</v>
      </c>
      <c r="E21" s="490">
        <v>17</v>
      </c>
      <c r="F21" s="540" t="s">
        <v>486</v>
      </c>
      <c r="G21" s="491">
        <v>35.375</v>
      </c>
      <c r="H21" s="486">
        <v>-3</v>
      </c>
      <c r="I21" s="215">
        <f>G21-C18</f>
        <v>-23.125</v>
      </c>
    </row>
    <row r="23" spans="1:9">
      <c r="B23" s="145"/>
      <c r="C23" s="145"/>
      <c r="D23" s="145"/>
      <c r="E23" s="145"/>
      <c r="F23" s="145"/>
      <c r="G23" s="145"/>
    </row>
    <row r="24" spans="1:9" ht="15.75" thickBot="1">
      <c r="B24" s="213"/>
      <c r="C24" s="214"/>
      <c r="D24" s="145"/>
      <c r="E24" s="213"/>
      <c r="F24" s="145"/>
    </row>
    <row r="25" spans="1:9" ht="15.75" thickBot="1">
      <c r="B25" s="462"/>
      <c r="C25" s="462">
        <v>2012</v>
      </c>
      <c r="D25" s="462">
        <v>2013</v>
      </c>
      <c r="E25" s="462" t="s">
        <v>514</v>
      </c>
      <c r="F25" s="462" t="s">
        <v>513</v>
      </c>
    </row>
    <row r="26" spans="1:9" ht="15.75" thickBot="1">
      <c r="B26" s="543" t="s">
        <v>489</v>
      </c>
      <c r="C26" s="541">
        <v>86.75</v>
      </c>
      <c r="D26" s="462">
        <v>84</v>
      </c>
      <c r="E26" s="462">
        <v>1</v>
      </c>
      <c r="F26" s="544">
        <v>5</v>
      </c>
    </row>
    <row r="27" spans="1:9" ht="15.75" thickBot="1">
      <c r="B27" s="543" t="s">
        <v>488</v>
      </c>
      <c r="C27" s="541">
        <v>79.5</v>
      </c>
      <c r="D27" s="462">
        <v>78.375</v>
      </c>
      <c r="E27" s="462">
        <v>4</v>
      </c>
      <c r="F27" s="544">
        <v>8</v>
      </c>
    </row>
    <row r="28" spans="1:9" ht="15.75" thickBot="1">
      <c r="B28" s="543" t="s">
        <v>487</v>
      </c>
      <c r="C28" s="541">
        <v>67.25</v>
      </c>
      <c r="D28" s="462">
        <v>63.25</v>
      </c>
      <c r="E28" s="462">
        <v>10</v>
      </c>
      <c r="F28" s="544">
        <v>14</v>
      </c>
    </row>
    <row r="29" spans="1:9" ht="15.75" thickBot="1">
      <c r="B29" s="543" t="s">
        <v>486</v>
      </c>
      <c r="C29" s="541">
        <v>58.5</v>
      </c>
      <c r="D29" s="462">
        <v>35.375</v>
      </c>
      <c r="E29" s="462">
        <v>14</v>
      </c>
      <c r="F29" s="544">
        <v>17</v>
      </c>
    </row>
    <row r="30" spans="1:9" ht="15.75" thickBot="1">
      <c r="B30" s="543" t="s">
        <v>485</v>
      </c>
      <c r="C30" s="541">
        <v>62.75</v>
      </c>
      <c r="D30" s="462">
        <v>83</v>
      </c>
      <c r="E30" s="462">
        <v>13</v>
      </c>
      <c r="F30" s="544">
        <v>6</v>
      </c>
    </row>
    <row r="31" spans="1:9" ht="15.75" thickBot="1">
      <c r="B31" s="543" t="s">
        <v>484</v>
      </c>
      <c r="C31" s="541">
        <v>57.375</v>
      </c>
      <c r="D31" s="462">
        <v>44.125</v>
      </c>
      <c r="E31" s="462">
        <v>16</v>
      </c>
      <c r="F31" s="544">
        <v>16</v>
      </c>
    </row>
    <row r="32" spans="1:9" ht="15.75" thickBot="1">
      <c r="B32" s="543" t="s">
        <v>483</v>
      </c>
      <c r="C32" s="541">
        <v>58.5</v>
      </c>
      <c r="D32" s="462">
        <v>90.625</v>
      </c>
      <c r="E32" s="462">
        <v>14</v>
      </c>
      <c r="F32" s="544">
        <v>2</v>
      </c>
    </row>
    <row r="33" spans="2:6" ht="15.75" thickBot="1">
      <c r="B33" s="543" t="s">
        <v>482</v>
      </c>
      <c r="C33" s="541">
        <v>86.25</v>
      </c>
      <c r="D33" s="462">
        <v>87.125</v>
      </c>
      <c r="E33" s="462">
        <v>2</v>
      </c>
      <c r="F33" s="544">
        <v>3</v>
      </c>
    </row>
    <row r="34" spans="2:6" ht="15.75" thickBot="1">
      <c r="B34" s="543" t="s">
        <v>481</v>
      </c>
      <c r="C34" s="541">
        <v>73.625</v>
      </c>
      <c r="D34" s="462">
        <v>85.125</v>
      </c>
      <c r="E34" s="462">
        <v>7</v>
      </c>
      <c r="F34" s="544">
        <v>4</v>
      </c>
    </row>
    <row r="35" spans="2:6" ht="15.75" thickBot="1">
      <c r="B35" s="543" t="s">
        <v>480</v>
      </c>
      <c r="C35" s="541">
        <v>76.875</v>
      </c>
      <c r="D35" s="462">
        <v>74.5</v>
      </c>
      <c r="E35" s="462">
        <v>5</v>
      </c>
      <c r="F35" s="544">
        <v>10</v>
      </c>
    </row>
    <row r="36" spans="2:6" ht="15.75" thickBot="1">
      <c r="B36" s="543" t="s">
        <v>479</v>
      </c>
      <c r="C36" s="541">
        <v>71.5</v>
      </c>
      <c r="D36" s="462">
        <v>91.625</v>
      </c>
      <c r="E36" s="462">
        <v>8</v>
      </c>
      <c r="F36" s="544">
        <v>1</v>
      </c>
    </row>
    <row r="37" spans="2:6" ht="15.75" thickBot="1">
      <c r="B37" s="543" t="s">
        <v>478</v>
      </c>
      <c r="C37" s="541">
        <v>55.125</v>
      </c>
      <c r="D37" s="462">
        <v>56.25</v>
      </c>
      <c r="E37" s="462">
        <v>17</v>
      </c>
      <c r="F37" s="544">
        <v>15</v>
      </c>
    </row>
    <row r="38" spans="2:6" ht="15.75" thickBot="1">
      <c r="B38" s="543" t="s">
        <v>477</v>
      </c>
      <c r="C38" s="541">
        <v>75.75</v>
      </c>
      <c r="D38" s="462">
        <v>81.75</v>
      </c>
      <c r="E38" s="462">
        <v>6</v>
      </c>
      <c r="F38" s="544">
        <v>7</v>
      </c>
    </row>
    <row r="39" spans="2:6" ht="15.75" thickBot="1">
      <c r="B39" s="543" t="s">
        <v>476</v>
      </c>
      <c r="C39" s="541">
        <v>63.75</v>
      </c>
      <c r="D39" s="462">
        <v>72.375</v>
      </c>
      <c r="E39" s="462">
        <v>12</v>
      </c>
      <c r="F39" s="544">
        <v>11</v>
      </c>
    </row>
    <row r="40" spans="2:6" ht="15.75" thickBot="1">
      <c r="B40" s="543" t="s">
        <v>475</v>
      </c>
      <c r="C40" s="541">
        <v>80.25</v>
      </c>
      <c r="D40" s="462">
        <v>64.625</v>
      </c>
      <c r="E40" s="462">
        <v>3</v>
      </c>
      <c r="F40" s="544">
        <v>13</v>
      </c>
    </row>
    <row r="41" spans="2:6" ht="15.75" thickBot="1">
      <c r="B41" s="543" t="s">
        <v>474</v>
      </c>
      <c r="C41" s="541">
        <v>65.375</v>
      </c>
      <c r="D41" s="462">
        <v>66.375</v>
      </c>
      <c r="E41" s="462">
        <v>11</v>
      </c>
      <c r="F41" s="544">
        <v>12</v>
      </c>
    </row>
    <row r="42" spans="2:6" ht="15.75" thickBot="1">
      <c r="B42" s="543" t="s">
        <v>473</v>
      </c>
      <c r="C42" s="541">
        <v>70.375</v>
      </c>
      <c r="D42" s="462">
        <v>77.75</v>
      </c>
      <c r="E42" s="462">
        <v>9</v>
      </c>
      <c r="F42" s="544">
        <v>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L107"/>
  <sheetViews>
    <sheetView zoomScale="90" zoomScaleNormal="90" workbookViewId="0">
      <selection activeCell="A4" sqref="A4:A18"/>
    </sheetView>
  </sheetViews>
  <sheetFormatPr defaultRowHeight="15"/>
  <cols>
    <col min="1" max="1" width="29.28515625" customWidth="1"/>
    <col min="2" max="2" width="18.7109375" bestFit="1" customWidth="1"/>
    <col min="3" max="3" width="9.140625" customWidth="1"/>
    <col min="4" max="4" width="15" customWidth="1"/>
    <col min="5" max="5" width="10.5703125" customWidth="1"/>
    <col min="6" max="6" width="15.140625" bestFit="1" customWidth="1"/>
    <col min="7" max="7" width="9.140625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6.710937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6" max="26" width="10.5703125" bestFit="1" customWidth="1"/>
    <col min="27" max="27" width="9.14062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7" max="37" width="9.140625" customWidth="1"/>
    <col min="38" max="38" width="11.85546875" customWidth="1"/>
  </cols>
  <sheetData>
    <row r="1" spans="1:38">
      <c r="A1" s="528" t="s">
        <v>573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528"/>
      <c r="AF1" s="528"/>
      <c r="AG1" s="528"/>
      <c r="AH1" s="528"/>
      <c r="AI1" s="528"/>
      <c r="AJ1" s="528"/>
      <c r="AK1" s="40"/>
      <c r="AL1" s="40"/>
    </row>
    <row r="2" spans="1:38">
      <c r="A2" s="528"/>
      <c r="B2" s="528"/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  <c r="V2" s="528"/>
      <c r="W2" s="528"/>
      <c r="X2" s="528"/>
      <c r="Y2" s="528"/>
      <c r="Z2" s="528"/>
      <c r="AA2" s="528"/>
      <c r="AB2" s="528"/>
      <c r="AC2" s="528"/>
      <c r="AD2" s="528"/>
      <c r="AE2" s="528"/>
      <c r="AF2" s="528"/>
      <c r="AG2" s="528"/>
      <c r="AH2" s="528"/>
      <c r="AI2" s="528"/>
      <c r="AJ2" s="528"/>
      <c r="AK2" s="40"/>
      <c r="AL2" s="40"/>
    </row>
    <row r="3" spans="1:38" ht="45" customHeight="1">
      <c r="A3" s="39" t="s">
        <v>97</v>
      </c>
      <c r="B3" s="39" t="s">
        <v>96</v>
      </c>
      <c r="C3" s="51" t="s">
        <v>93</v>
      </c>
      <c r="D3" s="51" t="s">
        <v>95</v>
      </c>
      <c r="E3" s="51" t="s">
        <v>93</v>
      </c>
      <c r="F3" s="39" t="s">
        <v>94</v>
      </c>
      <c r="G3" s="51" t="s">
        <v>83</v>
      </c>
      <c r="H3" s="51" t="s">
        <v>84</v>
      </c>
      <c r="I3" s="51" t="s">
        <v>93</v>
      </c>
      <c r="J3" s="39" t="s">
        <v>92</v>
      </c>
      <c r="K3" s="51" t="s">
        <v>83</v>
      </c>
      <c r="L3" s="52" t="s">
        <v>91</v>
      </c>
      <c r="M3" s="51" t="s">
        <v>83</v>
      </c>
      <c r="N3" s="51" t="s">
        <v>90</v>
      </c>
      <c r="O3" s="51" t="s">
        <v>83</v>
      </c>
      <c r="P3" s="51" t="s">
        <v>84</v>
      </c>
      <c r="Q3" s="51" t="s">
        <v>83</v>
      </c>
      <c r="R3" s="51" t="s">
        <v>89</v>
      </c>
      <c r="S3" s="51" t="s">
        <v>83</v>
      </c>
      <c r="T3" s="51" t="s">
        <v>84</v>
      </c>
      <c r="U3" s="51" t="s">
        <v>83</v>
      </c>
      <c r="V3" s="51" t="s">
        <v>88</v>
      </c>
      <c r="W3" s="51" t="s">
        <v>83</v>
      </c>
      <c r="X3" s="51" t="s">
        <v>84</v>
      </c>
      <c r="Y3" s="51" t="s">
        <v>83</v>
      </c>
      <c r="Z3" s="51" t="s">
        <v>87</v>
      </c>
      <c r="AA3" s="51" t="s">
        <v>83</v>
      </c>
      <c r="AB3" s="51" t="s">
        <v>84</v>
      </c>
      <c r="AC3" s="51" t="s">
        <v>83</v>
      </c>
      <c r="AD3" s="51" t="s">
        <v>86</v>
      </c>
      <c r="AE3" s="51" t="s">
        <v>83</v>
      </c>
      <c r="AF3" s="51" t="s">
        <v>84</v>
      </c>
      <c r="AG3" s="51" t="s">
        <v>83</v>
      </c>
      <c r="AH3" s="51" t="s">
        <v>85</v>
      </c>
      <c r="AI3" s="51" t="s">
        <v>83</v>
      </c>
      <c r="AJ3" s="51" t="s">
        <v>84</v>
      </c>
      <c r="AK3" s="51" t="s">
        <v>83</v>
      </c>
      <c r="AL3" s="51" t="s">
        <v>82</v>
      </c>
    </row>
    <row r="4" spans="1:38">
      <c r="A4" s="77" t="s">
        <v>530</v>
      </c>
      <c r="B4" s="43">
        <v>4.0999999999999996</v>
      </c>
      <c r="C4" s="43">
        <f t="shared" ref="C4:C18" si="0">IF(B4&gt;5,$B$25,IF(B4&lt;=-7.3,$B$22,IF(AND(B4&gt;-7.3,B4&lt;=0.5),$B$23,$B$24)))</f>
        <v>10.125</v>
      </c>
      <c r="D4" s="39">
        <v>0</v>
      </c>
      <c r="E4" s="39" t="str">
        <f t="shared" ref="E4:E18" si="1">IF(D4=0,"0",$H$22)</f>
        <v>0</v>
      </c>
      <c r="F4" s="43">
        <v>6.1</v>
      </c>
      <c r="G4" s="43">
        <f t="shared" ref="G4:G18" si="2">IF(F4&gt;35,$B$31,IF(F4&lt;=-0.5,$B$28,IF(AND(F4&gt;-0.5,F4&lt;=5.8),$B$29,$B$30)))</f>
        <v>10.125</v>
      </c>
      <c r="H4" s="39">
        <v>0</v>
      </c>
      <c r="I4" s="39" t="str">
        <f t="shared" ref="I4:I18" si="3">IF(H4=0,"0",$H$29)</f>
        <v>0</v>
      </c>
      <c r="J4" s="46">
        <f>'[1]CAGR, ROCE'!I3</f>
        <v>1.3122666649011849E-2</v>
      </c>
      <c r="K4" s="42">
        <f t="shared" ref="K4:K18" si="4">IF(J4&gt;QUARTILE($J$4:$J$18,3),$B$38,IF(AND(J4&lt;=QUARTILE($J$4:$J$18,3),J4&gt;QUARTILE($J$4:$J$18,2)),$B$37,IF(AND(J4&lt;=QUARTILE($J$4:$J$18,2),J4&gt;QUARTILE($J$4:$J$18,1)),$B$36,$B$35)))</f>
        <v>2.5</v>
      </c>
      <c r="L4" s="46">
        <f>'[1]CAGR, ROCE'!G45</f>
        <v>-0.16690785475168213</v>
      </c>
      <c r="M4" s="42">
        <f t="shared" ref="M4:M18" si="5">IF(L4&gt;QUARTILE($L$4:$L$18,3),$B$44,IF(AND(L4&lt;=QUARTILE($L$4:$L$18,3),L4&gt;QUARTILE($L$4:$L$18,2)),$B$43,IF(AND(L4&lt;=QUARTILE($L$4:$L$18,2),L4&gt;QUARTILE($L$4:$L$18,1)),$B$42,$B$41)))</f>
        <v>1.25</v>
      </c>
      <c r="N4" s="43">
        <v>-25.94</v>
      </c>
      <c r="O4" s="43">
        <f t="shared" ref="O4:O18" si="6">IF(N4&gt;QUARTILE($N$4:$N$18,3),$B$50,IF(AND(N4&lt;=QUARTILE($N$4:$N$18,3),N4&gt;QUARTILE($N$4:$N$18,2)),$B$49,IF(AND(N4&lt;=QUARTILE($N$4:$N$18,2),N4&gt;QUARTILE($N$4:$N$18,1)),$B$48,$B$47)))</f>
        <v>4.5</v>
      </c>
      <c r="P4" s="43">
        <v>1</v>
      </c>
      <c r="Q4" s="43" t="str">
        <f t="shared" ref="Q4:Q18" si="7">IF(P4=0,"0","0,5")</f>
        <v>0,5</v>
      </c>
      <c r="R4" s="46">
        <v>6.6299999999999998E-2</v>
      </c>
      <c r="S4" s="42">
        <f t="shared" ref="S4:S18" si="8">IF(R4&gt;9.55%,$B$56,IF(AND(R4&lt;=9.55%,R4&gt;2.56%),$B$55,IF(AND(R4&lt;=2.56%,R4&gt;-7.91),$B$54,$B$53)))</f>
        <v>6.75</v>
      </c>
      <c r="T4" s="47">
        <v>1</v>
      </c>
      <c r="U4" s="46" t="str">
        <f t="shared" ref="U4:U18" si="9">IF(T4=0,"0","1")</f>
        <v>1</v>
      </c>
      <c r="V4" s="46">
        <v>4.3499999999999997E-2</v>
      </c>
      <c r="W4" s="42">
        <f t="shared" ref="W4:W18" si="10">IF(V4&gt;5.77%,$B$62,IF(AND(V4&lt;=5.77%,V4&gt;1.03%),$B$61,IF(AND(V4&lt;=1.03%,V4&gt;-10.86),$B$60,$B$59)))</f>
        <v>10.125</v>
      </c>
      <c r="X4" s="47">
        <v>0</v>
      </c>
      <c r="Y4" s="46" t="str">
        <f t="shared" ref="Y4:Y18" si="11">IF(X4=0,"0","1,5")</f>
        <v>0</v>
      </c>
      <c r="Z4" s="46">
        <v>1.2699999999999999E-2</v>
      </c>
      <c r="AA4" s="42">
        <f t="shared" ref="AA4:AA18" si="12">IF(Z4&gt;3.55%,$B$68,IF(AND(Z4&lt;=3.55%,Z4&gt;0.37%),$B$67,IF(AND(Z4&lt;=0.37%,Z4&gt;-14.3%),$B$66,$B$65)))</f>
        <v>11.25</v>
      </c>
      <c r="AB4" s="47">
        <v>0</v>
      </c>
      <c r="AC4" s="46" t="str">
        <f t="shared" ref="AC4:AC18" si="13">IF(AB4=0,"0","1,5")</f>
        <v>0</v>
      </c>
      <c r="AD4" s="48">
        <f>'[1]CAGR, ROCE'!K66</f>
        <v>1.0454588270689635</v>
      </c>
      <c r="AE4" s="48">
        <f t="shared" ref="AE4:AE18" si="14">IF(AD4&gt;QUARTILE($AD$4:$AD$18,3),$B$74,IF(AND(AD4&lt;=QUARTILE($AD$4:$AD$18,3),AD4&gt;QUARTILE($AD$4:$AD$18,2)),$B$73,IF(AND(AD4&lt;=QUARTILE($AD$4:$AD$18,2),AD4&gt;QUARTILE($AD$4:$AD$18,1)),$B$72,$B$71)))</f>
        <v>4.5</v>
      </c>
      <c r="AF4" s="47">
        <f>IF(('[1]CAGR, ROCE'!K66-'[1]CAGR, ROCE'!J66)&gt;0,1,0)</f>
        <v>1</v>
      </c>
      <c r="AG4" s="48" t="str">
        <f t="shared" ref="AG4:AG18" si="15">IF(AF4=0,"0","0,5")</f>
        <v>0,5</v>
      </c>
      <c r="AH4" s="46">
        <f>'[1]CAGR, ROCE'!Q26</f>
        <v>0.16611353095917269</v>
      </c>
      <c r="AI4" s="42">
        <f t="shared" ref="AI4:AI18" si="16">IF(AH4&gt;QUARTILE($AH$4:$AH$18,3),$B$80,IF(AND(AH4&lt;=QUARTILE($AH$4:$AH$18,3),AH4&gt;QUARTILE($AH$4:$AH$18,2)),$B$79,IF(AND(AH4&lt;=QUARTILE($AH$4:$AH$18,2),AH4&gt;QUARTILE($AH$4:$AH$18,1)),$B$78,$B$77)))</f>
        <v>6.75</v>
      </c>
      <c r="AJ4" s="39">
        <f>IF(('[1]CAGR, ROCE'!Q26-'[1]CAGR, ROCE'!P26)&gt;0,1,0)</f>
        <v>0</v>
      </c>
      <c r="AK4" s="39" t="str">
        <f t="shared" ref="AK4:AK18" si="17">IF(AJ4=0,"0","1")</f>
        <v>0</v>
      </c>
      <c r="AL4" s="38">
        <f t="shared" ref="AL4:AL18" si="18">C4+E4+G4+I4+K4+M4+O4+Q4+S4+U4+W4+Y4+AA4+AC4+AE4+AG4+AI4+AK4</f>
        <v>69.875</v>
      </c>
    </row>
    <row r="5" spans="1:38">
      <c r="A5" s="77" t="s">
        <v>529</v>
      </c>
      <c r="B5" s="43">
        <v>4.4000000000000004</v>
      </c>
      <c r="C5" s="43">
        <f t="shared" si="0"/>
        <v>10.125</v>
      </c>
      <c r="D5" s="39">
        <v>0</v>
      </c>
      <c r="E5" s="39" t="str">
        <f t="shared" si="1"/>
        <v>0</v>
      </c>
      <c r="F5" s="43">
        <v>9.6999999999999993</v>
      </c>
      <c r="G5" s="43">
        <f t="shared" si="2"/>
        <v>10.125</v>
      </c>
      <c r="H5" s="39">
        <v>0</v>
      </c>
      <c r="I5" s="39" t="str">
        <f t="shared" si="3"/>
        <v>0</v>
      </c>
      <c r="J5" s="46">
        <f>'[1]CAGR, ROCE'!I4</f>
        <v>5.4722549616849969E-2</v>
      </c>
      <c r="K5" s="42">
        <f t="shared" si="4"/>
        <v>3.75</v>
      </c>
      <c r="L5" s="46">
        <f>'[1]CAGR, ROCE'!G46</f>
        <v>-8.7890992113117988E-2</v>
      </c>
      <c r="M5" s="42">
        <f t="shared" si="5"/>
        <v>2.5</v>
      </c>
      <c r="N5" s="43">
        <v>-32.880000000000003</v>
      </c>
      <c r="O5" s="43">
        <f t="shared" si="6"/>
        <v>4.5</v>
      </c>
      <c r="P5" s="43">
        <v>1</v>
      </c>
      <c r="Q5" s="43" t="str">
        <f t="shared" si="7"/>
        <v>0,5</v>
      </c>
      <c r="R5" s="46">
        <v>9.3200000000000005E-2</v>
      </c>
      <c r="S5" s="42">
        <f t="shared" si="8"/>
        <v>6.75</v>
      </c>
      <c r="T5" s="47">
        <v>0</v>
      </c>
      <c r="U5" s="46" t="str">
        <f t="shared" si="9"/>
        <v>0</v>
      </c>
      <c r="V5" s="46">
        <v>4.9200000000000001E-2</v>
      </c>
      <c r="W5" s="42">
        <f t="shared" si="10"/>
        <v>10.125</v>
      </c>
      <c r="X5" s="47">
        <v>0</v>
      </c>
      <c r="Y5" s="46" t="str">
        <f t="shared" si="11"/>
        <v>0</v>
      </c>
      <c r="Z5" s="46">
        <v>1.11E-2</v>
      </c>
      <c r="AA5" s="42">
        <f t="shared" si="12"/>
        <v>11.25</v>
      </c>
      <c r="AB5" s="47">
        <v>0</v>
      </c>
      <c r="AC5" s="46" t="str">
        <f t="shared" si="13"/>
        <v>0</v>
      </c>
      <c r="AD5" s="48">
        <f>'[1]CAGR, ROCE'!K67</f>
        <v>1.0517699606675408</v>
      </c>
      <c r="AE5" s="48">
        <f t="shared" si="14"/>
        <v>4.5</v>
      </c>
      <c r="AF5" s="47">
        <f>IF(('[1]CAGR, ROCE'!K67-'[1]CAGR, ROCE'!J67)&gt;0,1,0)</f>
        <v>0</v>
      </c>
      <c r="AG5" s="48" t="str">
        <f t="shared" si="15"/>
        <v>0</v>
      </c>
      <c r="AH5" s="46">
        <f>'[1]CAGR, ROCE'!Q27</f>
        <v>7.428606951258028E-2</v>
      </c>
      <c r="AI5" s="42">
        <f t="shared" si="16"/>
        <v>4.5</v>
      </c>
      <c r="AJ5" s="39">
        <f>IF(('[1]CAGR, ROCE'!Q27-'[1]CAGR, ROCE'!P27)&gt;0,1,0)</f>
        <v>1</v>
      </c>
      <c r="AK5" s="39" t="str">
        <f t="shared" si="17"/>
        <v>1</v>
      </c>
      <c r="AL5" s="38">
        <f t="shared" si="18"/>
        <v>69.625</v>
      </c>
    </row>
    <row r="6" spans="1:38">
      <c r="A6" s="77" t="s">
        <v>528</v>
      </c>
      <c r="B6" s="43">
        <v>1.6</v>
      </c>
      <c r="C6" s="43">
        <f t="shared" si="0"/>
        <v>10.125</v>
      </c>
      <c r="D6" s="39">
        <v>0</v>
      </c>
      <c r="E6" s="39" t="str">
        <f t="shared" si="1"/>
        <v>0</v>
      </c>
      <c r="F6" s="43">
        <v>6.1</v>
      </c>
      <c r="G6" s="43">
        <f t="shared" si="2"/>
        <v>10.125</v>
      </c>
      <c r="H6" s="39">
        <v>0</v>
      </c>
      <c r="I6" s="39" t="str">
        <f t="shared" si="3"/>
        <v>0</v>
      </c>
      <c r="J6" s="46">
        <f>'[1]CAGR, ROCE'!I5</f>
        <v>2.1236773019197575E-3</v>
      </c>
      <c r="K6" s="42">
        <f t="shared" si="4"/>
        <v>1.25</v>
      </c>
      <c r="L6" s="46">
        <f>'[1]CAGR, ROCE'!G47</f>
        <v>-5.4784138727833546E-2</v>
      </c>
      <c r="M6" s="42">
        <f t="shared" si="5"/>
        <v>2.5</v>
      </c>
      <c r="N6" s="43">
        <v>-23.91</v>
      </c>
      <c r="O6" s="43">
        <f t="shared" si="6"/>
        <v>3.375</v>
      </c>
      <c r="P6" s="43">
        <v>1</v>
      </c>
      <c r="Q6" s="43" t="str">
        <f t="shared" si="7"/>
        <v>0,5</v>
      </c>
      <c r="R6" s="46">
        <v>2.64E-2</v>
      </c>
      <c r="S6" s="42">
        <f t="shared" si="8"/>
        <v>6.75</v>
      </c>
      <c r="T6" s="47">
        <v>0</v>
      </c>
      <c r="U6" s="46" t="str">
        <f t="shared" si="9"/>
        <v>0</v>
      </c>
      <c r="V6" s="46">
        <v>1.29E-2</v>
      </c>
      <c r="W6" s="42">
        <f t="shared" si="10"/>
        <v>10.125</v>
      </c>
      <c r="X6" s="47">
        <v>0</v>
      </c>
      <c r="Y6" s="46" t="str">
        <f t="shared" si="11"/>
        <v>0</v>
      </c>
      <c r="Z6" s="46">
        <v>5.5999999999999999E-3</v>
      </c>
      <c r="AA6" s="42">
        <f t="shared" si="12"/>
        <v>11.25</v>
      </c>
      <c r="AB6" s="47">
        <v>0</v>
      </c>
      <c r="AC6" s="46" t="str">
        <f t="shared" si="13"/>
        <v>0</v>
      </c>
      <c r="AD6" s="48">
        <f>'[1]CAGR, ROCE'!K68</f>
        <v>1.0119315259577866</v>
      </c>
      <c r="AE6" s="48">
        <f t="shared" si="14"/>
        <v>2.25</v>
      </c>
      <c r="AF6" s="47">
        <f>IF(('[1]CAGR, ROCE'!K68-'[1]CAGR, ROCE'!J68)&gt;0,1,0)</f>
        <v>0</v>
      </c>
      <c r="AG6" s="48" t="str">
        <f t="shared" si="15"/>
        <v>0</v>
      </c>
      <c r="AH6" s="46">
        <f>'[1]CAGR, ROCE'!Q28</f>
        <v>0.1409068425138503</v>
      </c>
      <c r="AI6" s="42">
        <f t="shared" si="16"/>
        <v>6.75</v>
      </c>
      <c r="AJ6" s="39">
        <f>IF(('[1]CAGR, ROCE'!Q28-'[1]CAGR, ROCE'!P28)&gt;0,1,0)</f>
        <v>0</v>
      </c>
      <c r="AK6" s="39" t="str">
        <f t="shared" si="17"/>
        <v>0</v>
      </c>
      <c r="AL6" s="38">
        <f t="shared" si="18"/>
        <v>65</v>
      </c>
    </row>
    <row r="7" spans="1:38">
      <c r="A7" s="77" t="s">
        <v>527</v>
      </c>
      <c r="B7" s="107">
        <v>1.2</v>
      </c>
      <c r="C7" s="43">
        <f t="shared" si="0"/>
        <v>10.125</v>
      </c>
      <c r="D7" s="39">
        <v>1</v>
      </c>
      <c r="E7" s="39">
        <f t="shared" si="1"/>
        <v>1.5</v>
      </c>
      <c r="F7" s="107">
        <v>1.6</v>
      </c>
      <c r="G7" s="43">
        <f t="shared" si="2"/>
        <v>6.75</v>
      </c>
      <c r="H7" s="39">
        <v>1</v>
      </c>
      <c r="I7" s="39">
        <f t="shared" si="3"/>
        <v>1.5</v>
      </c>
      <c r="J7" s="46">
        <f>'[1]CAGR, ROCE'!I6</f>
        <v>8.855288015053131E-2</v>
      </c>
      <c r="K7" s="42">
        <f t="shared" si="4"/>
        <v>5</v>
      </c>
      <c r="L7" s="46">
        <f>'[1]CAGR, ROCE'!G48</f>
        <v>-1.892586354181246</v>
      </c>
      <c r="M7" s="42">
        <f t="shared" si="5"/>
        <v>1.25</v>
      </c>
      <c r="N7" s="43">
        <v>-20.43</v>
      </c>
      <c r="O7" s="43">
        <f t="shared" si="6"/>
        <v>3.375</v>
      </c>
      <c r="P7" s="43">
        <v>1</v>
      </c>
      <c r="Q7" s="43" t="str">
        <f t="shared" si="7"/>
        <v>0,5</v>
      </c>
      <c r="R7" s="46">
        <v>4.0300000000000002E-2</v>
      </c>
      <c r="S7" s="42">
        <f t="shared" si="8"/>
        <v>6.75</v>
      </c>
      <c r="T7" s="47">
        <v>1</v>
      </c>
      <c r="U7" s="46" t="str">
        <f t="shared" si="9"/>
        <v>1</v>
      </c>
      <c r="V7" s="46">
        <v>1.7500000000000002E-2</v>
      </c>
      <c r="W7" s="42">
        <f t="shared" si="10"/>
        <v>10.125</v>
      </c>
      <c r="X7" s="47">
        <v>1</v>
      </c>
      <c r="Y7" s="46" t="str">
        <f t="shared" si="11"/>
        <v>1,5</v>
      </c>
      <c r="Z7" s="46">
        <v>1.21E-2</v>
      </c>
      <c r="AA7" s="42">
        <f t="shared" si="12"/>
        <v>11.25</v>
      </c>
      <c r="AB7" s="47">
        <v>1</v>
      </c>
      <c r="AC7" s="46" t="str">
        <f t="shared" si="13"/>
        <v>1,5</v>
      </c>
      <c r="AD7" s="48">
        <f>'[1]CAGR, ROCE'!K69</f>
        <v>1.0178357126981532</v>
      </c>
      <c r="AE7" s="48">
        <f t="shared" si="14"/>
        <v>2.25</v>
      </c>
      <c r="AF7" s="47">
        <f>IF(('[1]CAGR, ROCE'!K69-'[1]CAGR, ROCE'!J69)&gt;0,1,0)</f>
        <v>1</v>
      </c>
      <c r="AG7" s="48" t="str">
        <f t="shared" si="15"/>
        <v>0,5</v>
      </c>
      <c r="AH7" s="46">
        <f>'[1]CAGR, ROCE'!Q29</f>
        <v>2.0355988978121842E-2</v>
      </c>
      <c r="AI7" s="42">
        <f t="shared" si="16"/>
        <v>4.5</v>
      </c>
      <c r="AJ7" s="39">
        <f>IF(('[1]CAGR, ROCE'!Q29-'[1]CAGR, ROCE'!P29)&gt;0,1,0)</f>
        <v>1</v>
      </c>
      <c r="AK7" s="39" t="str">
        <f t="shared" si="17"/>
        <v>1</v>
      </c>
      <c r="AL7" s="38">
        <f t="shared" si="18"/>
        <v>70.375</v>
      </c>
    </row>
    <row r="8" spans="1:38">
      <c r="A8" s="77" t="s">
        <v>526</v>
      </c>
      <c r="B8" s="43">
        <v>-0.4</v>
      </c>
      <c r="C8" s="43">
        <f t="shared" si="0"/>
        <v>6.75</v>
      </c>
      <c r="D8" s="39">
        <v>0</v>
      </c>
      <c r="E8" s="39" t="str">
        <f t="shared" si="1"/>
        <v>0</v>
      </c>
      <c r="F8" s="43">
        <v>-2.8</v>
      </c>
      <c r="G8" s="43">
        <f t="shared" si="2"/>
        <v>3.375</v>
      </c>
      <c r="H8" s="39">
        <v>0</v>
      </c>
      <c r="I8" s="39" t="str">
        <f t="shared" si="3"/>
        <v>0</v>
      </c>
      <c r="J8" s="46">
        <f>'[1]CAGR, ROCE'!I7</f>
        <v>5.4894632897400264E-2</v>
      </c>
      <c r="K8" s="42">
        <f t="shared" si="4"/>
        <v>3.75</v>
      </c>
      <c r="L8" s="46">
        <f>'[1]CAGR, ROCE'!G49</f>
        <v>0.16905937231103663</v>
      </c>
      <c r="M8" s="42">
        <f t="shared" si="5"/>
        <v>3.75</v>
      </c>
      <c r="N8" s="43">
        <v>2.08</v>
      </c>
      <c r="O8" s="43">
        <f t="shared" si="6"/>
        <v>2.25</v>
      </c>
      <c r="P8" s="43">
        <v>0</v>
      </c>
      <c r="Q8" s="43" t="str">
        <f t="shared" si="7"/>
        <v>0</v>
      </c>
      <c r="R8" s="46">
        <v>2.01E-2</v>
      </c>
      <c r="S8" s="42">
        <f t="shared" si="8"/>
        <v>4.5</v>
      </c>
      <c r="T8" s="47">
        <v>0</v>
      </c>
      <c r="U8" s="46" t="str">
        <f t="shared" si="9"/>
        <v>0</v>
      </c>
      <c r="V8" s="46">
        <v>2.0000000000000001E-4</v>
      </c>
      <c r="W8" s="42">
        <f t="shared" si="10"/>
        <v>6.75</v>
      </c>
      <c r="X8" s="47">
        <v>1</v>
      </c>
      <c r="Y8" s="46" t="str">
        <f t="shared" si="11"/>
        <v>1,5</v>
      </c>
      <c r="Z8" s="46">
        <v>-1.03E-2</v>
      </c>
      <c r="AA8" s="42">
        <f t="shared" si="12"/>
        <v>7.5</v>
      </c>
      <c r="AB8" s="47">
        <v>0</v>
      </c>
      <c r="AC8" s="46" t="str">
        <f t="shared" si="13"/>
        <v>0</v>
      </c>
      <c r="AD8" s="48">
        <f>'[1]CAGR, ROCE'!K70</f>
        <v>1.0001858419296263</v>
      </c>
      <c r="AE8" s="48">
        <f t="shared" si="14"/>
        <v>1.125</v>
      </c>
      <c r="AF8" s="47">
        <f>IF(('[1]CAGR, ROCE'!K70-'[1]CAGR, ROCE'!J70)&gt;0,1,0)</f>
        <v>1</v>
      </c>
      <c r="AG8" s="48" t="str">
        <f t="shared" si="15"/>
        <v>0,5</v>
      </c>
      <c r="AH8" s="46">
        <f>'[1]CAGR, ROCE'!Q30</f>
        <v>-1.5434371210992545E-3</v>
      </c>
      <c r="AI8" s="42">
        <f t="shared" si="16"/>
        <v>2.25</v>
      </c>
      <c r="AJ8" s="39">
        <f>IF(('[1]CAGR, ROCE'!Q30-'[1]CAGR, ROCE'!P30)&gt;0,1,0)</f>
        <v>0</v>
      </c>
      <c r="AK8" s="39" t="str">
        <f t="shared" si="17"/>
        <v>0</v>
      </c>
      <c r="AL8" s="38">
        <f t="shared" si="18"/>
        <v>44</v>
      </c>
    </row>
    <row r="9" spans="1:38">
      <c r="A9" s="77" t="s">
        <v>525</v>
      </c>
      <c r="B9" s="43">
        <v>-5</v>
      </c>
      <c r="C9" s="43">
        <f t="shared" si="0"/>
        <v>6.75</v>
      </c>
      <c r="D9" s="39">
        <v>1</v>
      </c>
      <c r="E9" s="39">
        <f t="shared" si="1"/>
        <v>1.5</v>
      </c>
      <c r="F9" s="43">
        <v>-20.2</v>
      </c>
      <c r="G9" s="43">
        <f t="shared" si="2"/>
        <v>3.375</v>
      </c>
      <c r="H9" s="39">
        <v>1</v>
      </c>
      <c r="I9" s="39">
        <f t="shared" si="3"/>
        <v>1.5</v>
      </c>
      <c r="J9" s="46">
        <f>'[1]CAGR, ROCE'!I8</f>
        <v>-3.3406038082763434E-2</v>
      </c>
      <c r="K9" s="42">
        <f t="shared" si="4"/>
        <v>1.25</v>
      </c>
      <c r="L9" s="46">
        <f>'[1]CAGR, ROCE'!G50</f>
        <v>-0.56879128661034373</v>
      </c>
      <c r="M9" s="42">
        <f t="shared" si="5"/>
        <v>1.25</v>
      </c>
      <c r="N9" s="43">
        <v>-49.44</v>
      </c>
      <c r="O9" s="43">
        <f t="shared" si="6"/>
        <v>4.5</v>
      </c>
      <c r="P9" s="43">
        <v>1</v>
      </c>
      <c r="Q9" s="43" t="str">
        <f t="shared" si="7"/>
        <v>0,5</v>
      </c>
      <c r="R9" s="46">
        <v>-1.78E-2</v>
      </c>
      <c r="S9" s="42">
        <f t="shared" si="8"/>
        <v>4.5</v>
      </c>
      <c r="T9" s="47">
        <v>1</v>
      </c>
      <c r="U9" s="46" t="str">
        <f t="shared" si="9"/>
        <v>1</v>
      </c>
      <c r="V9" s="46">
        <v>-5.33E-2</v>
      </c>
      <c r="W9" s="42">
        <f t="shared" si="10"/>
        <v>6.75</v>
      </c>
      <c r="X9" s="47">
        <v>1</v>
      </c>
      <c r="Y9" s="46" t="str">
        <f t="shared" si="11"/>
        <v>1,5</v>
      </c>
      <c r="Z9" s="46">
        <v>-7.7600000000000002E-2</v>
      </c>
      <c r="AA9" s="42">
        <f t="shared" si="12"/>
        <v>7.5</v>
      </c>
      <c r="AB9" s="47">
        <v>1</v>
      </c>
      <c r="AC9" s="46" t="str">
        <f t="shared" si="13"/>
        <v>1,5</v>
      </c>
      <c r="AD9" s="48">
        <f>'[1]CAGR, ROCE'!K71</f>
        <v>0.94939233152379088</v>
      </c>
      <c r="AE9" s="48">
        <f t="shared" si="14"/>
        <v>1.125</v>
      </c>
      <c r="AF9" s="47">
        <f>IF(('[1]CAGR, ROCE'!K71-'[1]CAGR, ROCE'!J71)&gt;0,1,0)</f>
        <v>1</v>
      </c>
      <c r="AG9" s="48" t="str">
        <f t="shared" si="15"/>
        <v>0,5</v>
      </c>
      <c r="AH9" s="46">
        <f>'[1]CAGR, ROCE'!Q31</f>
        <v>-9.3052050238625339E-2</v>
      </c>
      <c r="AI9" s="42">
        <f t="shared" si="16"/>
        <v>2.25</v>
      </c>
      <c r="AJ9" s="39">
        <f>IF(('[1]CAGR, ROCE'!Q31-'[1]CAGR, ROCE'!P31)&gt;0,1,0)</f>
        <v>1</v>
      </c>
      <c r="AK9" s="39" t="str">
        <f t="shared" si="17"/>
        <v>1</v>
      </c>
      <c r="AL9" s="38">
        <f t="shared" si="18"/>
        <v>48.25</v>
      </c>
    </row>
    <row r="10" spans="1:38">
      <c r="A10" s="77" t="s">
        <v>524</v>
      </c>
      <c r="B10" s="43">
        <v>-8.9</v>
      </c>
      <c r="C10" s="43">
        <f t="shared" si="0"/>
        <v>3.375</v>
      </c>
      <c r="D10" s="39">
        <v>0</v>
      </c>
      <c r="E10" s="39" t="str">
        <f t="shared" si="1"/>
        <v>0</v>
      </c>
      <c r="F10" s="43">
        <v>-92.6</v>
      </c>
      <c r="G10" s="43">
        <f t="shared" si="2"/>
        <v>3.375</v>
      </c>
      <c r="H10" s="39">
        <v>0</v>
      </c>
      <c r="I10" s="39" t="str">
        <f t="shared" si="3"/>
        <v>0</v>
      </c>
      <c r="J10" s="46">
        <f>'[1]CAGR, ROCE'!I9</f>
        <v>5.4387937652345064E-2</v>
      </c>
      <c r="K10" s="42">
        <f t="shared" si="4"/>
        <v>3.75</v>
      </c>
      <c r="L10" s="46">
        <f>'[1]CAGR, ROCE'!G51</f>
        <v>3.4964632364923344E-2</v>
      </c>
      <c r="M10" s="42">
        <f t="shared" si="5"/>
        <v>3.75</v>
      </c>
      <c r="N10" s="43">
        <v>3.43</v>
      </c>
      <c r="O10" s="43">
        <f t="shared" si="6"/>
        <v>2.25</v>
      </c>
      <c r="P10" s="43">
        <v>1</v>
      </c>
      <c r="Q10" s="43" t="str">
        <f t="shared" si="7"/>
        <v>0,5</v>
      </c>
      <c r="R10" s="46">
        <v>1.6000000000000001E-3</v>
      </c>
      <c r="S10" s="42">
        <f t="shared" si="8"/>
        <v>4.5</v>
      </c>
      <c r="T10" s="47">
        <v>0</v>
      </c>
      <c r="U10" s="46" t="str">
        <f t="shared" si="9"/>
        <v>0</v>
      </c>
      <c r="V10" s="46">
        <v>-4.2099999999999999E-2</v>
      </c>
      <c r="W10" s="42">
        <f t="shared" si="10"/>
        <v>6.75</v>
      </c>
      <c r="X10" s="47">
        <v>0</v>
      </c>
      <c r="Y10" s="46" t="str">
        <f t="shared" si="11"/>
        <v>0</v>
      </c>
      <c r="Z10" s="46">
        <v>-5.2299999999999999E-2</v>
      </c>
      <c r="AA10" s="42">
        <f t="shared" si="12"/>
        <v>7.5</v>
      </c>
      <c r="AB10" s="47">
        <v>0</v>
      </c>
      <c r="AC10" s="46" t="str">
        <f t="shared" si="13"/>
        <v>0</v>
      </c>
      <c r="AD10" s="48">
        <f>'[1]CAGR, ROCE'!K72</f>
        <v>0.95959652524484051</v>
      </c>
      <c r="AE10" s="48">
        <f t="shared" si="14"/>
        <v>1.125</v>
      </c>
      <c r="AF10" s="47">
        <f>IF(('[1]CAGR, ROCE'!K72-'[1]CAGR, ROCE'!J72)&gt;0,1,0)</f>
        <v>0</v>
      </c>
      <c r="AG10" s="48" t="str">
        <f t="shared" si="15"/>
        <v>0</v>
      </c>
      <c r="AH10" s="46">
        <f>'[1]CAGR, ROCE'!Q32</f>
        <v>-0.13839672528231076</v>
      </c>
      <c r="AI10" s="42">
        <f t="shared" si="16"/>
        <v>2.25</v>
      </c>
      <c r="AJ10" s="39">
        <f>IF(('[1]CAGR, ROCE'!Q32-'[1]CAGR, ROCE'!P32)&gt;0,1,0)</f>
        <v>0</v>
      </c>
      <c r="AK10" s="39" t="str">
        <f t="shared" si="17"/>
        <v>0</v>
      </c>
      <c r="AL10" s="38">
        <f t="shared" si="18"/>
        <v>39.125</v>
      </c>
    </row>
    <row r="11" spans="1:38">
      <c r="A11" s="77" t="s">
        <v>523</v>
      </c>
      <c r="B11" s="43">
        <v>6.1</v>
      </c>
      <c r="C11" s="43">
        <f t="shared" si="0"/>
        <v>13.5</v>
      </c>
      <c r="D11" s="39">
        <v>1</v>
      </c>
      <c r="E11" s="39">
        <f t="shared" si="1"/>
        <v>1.5</v>
      </c>
      <c r="F11" s="43">
        <v>55</v>
      </c>
      <c r="G11" s="43">
        <f t="shared" si="2"/>
        <v>13.5</v>
      </c>
      <c r="H11" s="39">
        <v>0</v>
      </c>
      <c r="I11" s="39" t="str">
        <f t="shared" si="3"/>
        <v>0</v>
      </c>
      <c r="J11" s="46">
        <f>'[1]CAGR, ROCE'!I10</f>
        <v>0.11035327112913595</v>
      </c>
      <c r="K11" s="42">
        <f t="shared" si="4"/>
        <v>5</v>
      </c>
      <c r="L11" s="46">
        <f>'[1]CAGR, ROCE'!G52</f>
        <v>0.53090716922355596</v>
      </c>
      <c r="M11" s="42">
        <f t="shared" si="5"/>
        <v>5</v>
      </c>
      <c r="N11" s="43">
        <v>-26.52</v>
      </c>
      <c r="O11" s="43">
        <f t="shared" si="6"/>
        <v>4.5</v>
      </c>
      <c r="P11" s="43">
        <v>0</v>
      </c>
      <c r="Q11" s="43" t="str">
        <f t="shared" si="7"/>
        <v>0</v>
      </c>
      <c r="R11" s="46">
        <v>7.8799999999999995E-2</v>
      </c>
      <c r="S11" s="42">
        <f t="shared" si="8"/>
        <v>6.75</v>
      </c>
      <c r="T11" s="47">
        <v>1</v>
      </c>
      <c r="U11" s="46" t="str">
        <f t="shared" si="9"/>
        <v>1</v>
      </c>
      <c r="V11" s="46">
        <v>2.7400000000000001E-2</v>
      </c>
      <c r="W11" s="42">
        <f t="shared" si="10"/>
        <v>10.125</v>
      </c>
      <c r="X11" s="47">
        <v>1</v>
      </c>
      <c r="Y11" s="46" t="str">
        <f t="shared" si="11"/>
        <v>1,5</v>
      </c>
      <c r="Z11" s="46">
        <v>1.95E-2</v>
      </c>
      <c r="AA11" s="42">
        <f t="shared" si="12"/>
        <v>11.25</v>
      </c>
      <c r="AB11" s="47">
        <v>1</v>
      </c>
      <c r="AC11" s="46" t="str">
        <f t="shared" si="13"/>
        <v>1,5</v>
      </c>
      <c r="AD11" s="48">
        <f>'[1]CAGR, ROCE'!K73</f>
        <v>1.0281751025596084</v>
      </c>
      <c r="AE11" s="48">
        <f t="shared" si="14"/>
        <v>3.375</v>
      </c>
      <c r="AF11" s="47">
        <f>IF(('[1]CAGR, ROCE'!K73-'[1]CAGR, ROCE'!J73)&gt;0,1,0)</f>
        <v>1</v>
      </c>
      <c r="AG11" s="48" t="str">
        <f t="shared" si="15"/>
        <v>0,5</v>
      </c>
      <c r="AH11" s="46">
        <f>'[1]CAGR, ROCE'!Q33</f>
        <v>0.19827914411701072</v>
      </c>
      <c r="AI11" s="42">
        <f t="shared" si="16"/>
        <v>9</v>
      </c>
      <c r="AJ11" s="39">
        <f>IF(('[1]CAGR, ROCE'!Q33-'[1]CAGR, ROCE'!P33)&gt;0,1,0)</f>
        <v>1</v>
      </c>
      <c r="AK11" s="39" t="str">
        <f t="shared" si="17"/>
        <v>1</v>
      </c>
      <c r="AL11" s="38">
        <f t="shared" si="18"/>
        <v>89</v>
      </c>
    </row>
    <row r="12" spans="1:38">
      <c r="A12" s="77" t="s">
        <v>522</v>
      </c>
      <c r="B12" s="43">
        <v>21.5</v>
      </c>
      <c r="C12" s="43">
        <f t="shared" si="0"/>
        <v>13.5</v>
      </c>
      <c r="D12" s="39">
        <v>0</v>
      </c>
      <c r="E12" s="39" t="str">
        <f t="shared" si="1"/>
        <v>0</v>
      </c>
      <c r="F12" s="43">
        <v>41.5</v>
      </c>
      <c r="G12" s="43">
        <f t="shared" si="2"/>
        <v>13.5</v>
      </c>
      <c r="H12" s="39">
        <v>0</v>
      </c>
      <c r="I12" s="39" t="str">
        <f t="shared" si="3"/>
        <v>0</v>
      </c>
      <c r="J12" s="46">
        <f>'[1]CAGR, ROCE'!I11</f>
        <v>4.1382349489225145E-3</v>
      </c>
      <c r="K12" s="42">
        <f t="shared" si="4"/>
        <v>1.25</v>
      </c>
      <c r="L12" s="46">
        <f>'[1]CAGR, ROCE'!G53</f>
        <v>-0.25056157010597158</v>
      </c>
      <c r="M12" s="42">
        <f t="shared" si="5"/>
        <v>1.25</v>
      </c>
      <c r="N12" s="43">
        <v>36.43</v>
      </c>
      <c r="O12" s="43">
        <f t="shared" si="6"/>
        <v>1.125</v>
      </c>
      <c r="P12" s="43">
        <v>1</v>
      </c>
      <c r="Q12" s="43" t="str">
        <f t="shared" si="7"/>
        <v>0,5</v>
      </c>
      <c r="R12" s="46">
        <v>8.7999999999999995E-2</v>
      </c>
      <c r="S12" s="42">
        <f t="shared" si="8"/>
        <v>6.75</v>
      </c>
      <c r="T12" s="47">
        <v>0</v>
      </c>
      <c r="U12" s="46" t="str">
        <f t="shared" si="9"/>
        <v>0</v>
      </c>
      <c r="V12" s="46">
        <v>5.9900000000000002E-2</v>
      </c>
      <c r="W12" s="42">
        <f t="shared" si="10"/>
        <v>13.5</v>
      </c>
      <c r="X12" s="47">
        <v>0</v>
      </c>
      <c r="Y12" s="46" t="str">
        <f t="shared" si="11"/>
        <v>0</v>
      </c>
      <c r="Z12" s="46">
        <v>4.7399999999999998E-2</v>
      </c>
      <c r="AA12" s="42">
        <f t="shared" si="12"/>
        <v>15</v>
      </c>
      <c r="AB12" s="47">
        <v>0</v>
      </c>
      <c r="AC12" s="46" t="str">
        <f t="shared" si="13"/>
        <v>0</v>
      </c>
      <c r="AD12" s="48">
        <f>'[1]CAGR, ROCE'!K74</f>
        <v>1.0636965153171887</v>
      </c>
      <c r="AE12" s="48">
        <f t="shared" si="14"/>
        <v>4.5</v>
      </c>
      <c r="AF12" s="47">
        <f>IF(('[1]CAGR, ROCE'!K74-'[1]CAGR, ROCE'!J74)&gt;0,1,0)</f>
        <v>0</v>
      </c>
      <c r="AG12" s="48" t="str">
        <f t="shared" si="15"/>
        <v>0</v>
      </c>
      <c r="AH12" s="46">
        <f>'[1]CAGR, ROCE'!Q34</f>
        <v>0.50244597688478021</v>
      </c>
      <c r="AI12" s="42">
        <f t="shared" si="16"/>
        <v>9</v>
      </c>
      <c r="AJ12" s="39">
        <f>IF(('[1]CAGR, ROCE'!Q34-'[1]CAGR, ROCE'!P34)&gt;0,1,0)</f>
        <v>1</v>
      </c>
      <c r="AK12" s="39" t="str">
        <f t="shared" si="17"/>
        <v>1</v>
      </c>
      <c r="AL12" s="38">
        <f t="shared" si="18"/>
        <v>80.875</v>
      </c>
    </row>
    <row r="13" spans="1:38">
      <c r="A13" s="77" t="s">
        <v>521</v>
      </c>
      <c r="B13" s="43">
        <v>-22.3</v>
      </c>
      <c r="C13" s="43">
        <f t="shared" si="0"/>
        <v>3.375</v>
      </c>
      <c r="D13" s="39">
        <v>0</v>
      </c>
      <c r="E13" s="39" t="str">
        <f t="shared" si="1"/>
        <v>0</v>
      </c>
      <c r="F13" s="43">
        <v>-258.7</v>
      </c>
      <c r="G13" s="43">
        <f t="shared" si="2"/>
        <v>3.375</v>
      </c>
      <c r="H13" s="39">
        <v>1</v>
      </c>
      <c r="I13" s="39">
        <f t="shared" si="3"/>
        <v>1.5</v>
      </c>
      <c r="J13" s="46">
        <f>'[1]CAGR, ROCE'!I12</f>
        <v>1.4579271790045478E-2</v>
      </c>
      <c r="K13" s="42">
        <f t="shared" si="4"/>
        <v>2.5</v>
      </c>
      <c r="L13" s="46">
        <f>'[1]CAGR, ROCE'!G54</f>
        <v>-8.686632387137222E-2</v>
      </c>
      <c r="M13" s="42">
        <f t="shared" si="5"/>
        <v>2.5</v>
      </c>
      <c r="N13" s="43">
        <v>-17.170000000000002</v>
      </c>
      <c r="O13" s="43">
        <f t="shared" si="6"/>
        <v>3.375</v>
      </c>
      <c r="P13" s="43">
        <v>1</v>
      </c>
      <c r="Q13" s="43" t="str">
        <f t="shared" si="7"/>
        <v>0,5</v>
      </c>
      <c r="R13" s="46">
        <v>-2.7E-2</v>
      </c>
      <c r="S13" s="42">
        <f t="shared" si="8"/>
        <v>4.5</v>
      </c>
      <c r="T13" s="47">
        <v>1</v>
      </c>
      <c r="U13" s="46" t="str">
        <f t="shared" si="9"/>
        <v>1</v>
      </c>
      <c r="V13" s="46">
        <v>-5.91E-2</v>
      </c>
      <c r="W13" s="42">
        <f t="shared" si="10"/>
        <v>6.75</v>
      </c>
      <c r="X13" s="47">
        <v>1</v>
      </c>
      <c r="Y13" s="46" t="str">
        <f t="shared" si="11"/>
        <v>1,5</v>
      </c>
      <c r="Z13" s="46">
        <v>-6.0100000000000001E-2</v>
      </c>
      <c r="AA13" s="42">
        <f t="shared" si="12"/>
        <v>7.5</v>
      </c>
      <c r="AB13" s="47">
        <v>1</v>
      </c>
      <c r="AC13" s="46" t="str">
        <f t="shared" si="13"/>
        <v>1,5</v>
      </c>
      <c r="AD13" s="48">
        <f>'[1]CAGR, ROCE'!K75</f>
        <v>0.94422006384133328</v>
      </c>
      <c r="AE13" s="48">
        <f t="shared" si="14"/>
        <v>1.125</v>
      </c>
      <c r="AF13" s="47">
        <f>IF(('[1]CAGR, ROCE'!K75-'[1]CAGR, ROCE'!J75)&gt;0,1,0)</f>
        <v>1</v>
      </c>
      <c r="AG13" s="48" t="str">
        <f t="shared" si="15"/>
        <v>0,5</v>
      </c>
      <c r="AH13" s="46">
        <f>'[1]CAGR, ROCE'!Q35</f>
        <v>-0.93744669807638348</v>
      </c>
      <c r="AI13" s="42">
        <f t="shared" si="16"/>
        <v>2.25</v>
      </c>
      <c r="AJ13" s="39">
        <f>IF(('[1]CAGR, ROCE'!Q35-'[1]CAGR, ROCE'!P35)&gt;0,1,0)</f>
        <v>1</v>
      </c>
      <c r="AK13" s="39" t="str">
        <f t="shared" si="17"/>
        <v>1</v>
      </c>
      <c r="AL13" s="38">
        <f t="shared" si="18"/>
        <v>44.75</v>
      </c>
    </row>
    <row r="14" spans="1:38">
      <c r="A14" s="77" t="s">
        <v>520</v>
      </c>
      <c r="B14" s="43">
        <v>14.6</v>
      </c>
      <c r="C14" s="43">
        <f t="shared" si="0"/>
        <v>13.5</v>
      </c>
      <c r="D14" s="39">
        <v>0</v>
      </c>
      <c r="E14" s="39" t="str">
        <f t="shared" si="1"/>
        <v>0</v>
      </c>
      <c r="F14" s="43">
        <v>67</v>
      </c>
      <c r="G14" s="43">
        <f t="shared" si="2"/>
        <v>13.5</v>
      </c>
      <c r="H14" s="39">
        <v>0</v>
      </c>
      <c r="I14" s="39" t="str">
        <f t="shared" si="3"/>
        <v>0</v>
      </c>
      <c r="J14" s="46">
        <f>'[1]CAGR, ROCE'!I13</f>
        <v>4.4116224196789844E-2</v>
      </c>
      <c r="K14" s="42">
        <f t="shared" si="4"/>
        <v>2.5</v>
      </c>
      <c r="L14" s="46">
        <f>'[1]CAGR, ROCE'!G55</f>
        <v>9.1004632807137956E-3</v>
      </c>
      <c r="M14" s="42">
        <f t="shared" si="5"/>
        <v>2.5</v>
      </c>
      <c r="N14" s="43">
        <v>19.18</v>
      </c>
      <c r="O14" s="43">
        <f t="shared" si="6"/>
        <v>2.25</v>
      </c>
      <c r="P14" s="43">
        <v>0</v>
      </c>
      <c r="Q14" s="43" t="str">
        <f t="shared" si="7"/>
        <v>0</v>
      </c>
      <c r="R14" s="46">
        <v>5.9200000000000003E-2</v>
      </c>
      <c r="S14" s="42">
        <f t="shared" si="8"/>
        <v>6.75</v>
      </c>
      <c r="T14" s="47">
        <v>0</v>
      </c>
      <c r="U14" s="46" t="str">
        <f t="shared" si="9"/>
        <v>0</v>
      </c>
      <c r="V14" s="46">
        <v>4.6100000000000002E-2</v>
      </c>
      <c r="W14" s="42">
        <f t="shared" si="10"/>
        <v>10.125</v>
      </c>
      <c r="X14" s="47">
        <v>0</v>
      </c>
      <c r="Y14" s="46" t="str">
        <f t="shared" si="11"/>
        <v>0</v>
      </c>
      <c r="Z14" s="46">
        <v>3.8699999999999998E-2</v>
      </c>
      <c r="AA14" s="42">
        <f t="shared" si="12"/>
        <v>15</v>
      </c>
      <c r="AB14" s="47">
        <v>0</v>
      </c>
      <c r="AC14" s="46" t="str">
        <f t="shared" si="13"/>
        <v>0</v>
      </c>
      <c r="AD14" s="48">
        <f>'[1]CAGR, ROCE'!K76</f>
        <v>1.0483268027078165</v>
      </c>
      <c r="AE14" s="48">
        <f t="shared" si="14"/>
        <v>4.5</v>
      </c>
      <c r="AF14" s="47">
        <f>IF(('[1]CAGR, ROCE'!K76-'[1]CAGR, ROCE'!J76)&gt;0,1,0)</f>
        <v>0</v>
      </c>
      <c r="AG14" s="48" t="str">
        <f t="shared" si="15"/>
        <v>0</v>
      </c>
      <c r="AH14" s="46">
        <f>'[1]CAGR, ROCE'!Q36</f>
        <v>0.26909912809084885</v>
      </c>
      <c r="AI14" s="42">
        <f t="shared" si="16"/>
        <v>9</v>
      </c>
      <c r="AJ14" s="39">
        <f>IF(('[1]CAGR, ROCE'!Q36-'[1]CAGR, ROCE'!P36)&gt;0,1,0)</f>
        <v>0</v>
      </c>
      <c r="AK14" s="39" t="str">
        <f t="shared" si="17"/>
        <v>0</v>
      </c>
      <c r="AL14" s="38">
        <f t="shared" si="18"/>
        <v>79.625</v>
      </c>
    </row>
    <row r="15" spans="1:38">
      <c r="A15" s="77" t="s">
        <v>519</v>
      </c>
      <c r="B15" s="43">
        <v>4.8</v>
      </c>
      <c r="C15" s="43">
        <f t="shared" si="0"/>
        <v>10.125</v>
      </c>
      <c r="D15" s="39">
        <v>1</v>
      </c>
      <c r="E15" s="39">
        <f t="shared" si="1"/>
        <v>1.5</v>
      </c>
      <c r="F15" s="43">
        <v>23.1</v>
      </c>
      <c r="G15" s="43">
        <f t="shared" si="2"/>
        <v>10.125</v>
      </c>
      <c r="H15" s="39">
        <v>1</v>
      </c>
      <c r="I15" s="39">
        <f t="shared" si="3"/>
        <v>1.5</v>
      </c>
      <c r="J15" s="46">
        <f>'[1]CAGR, ROCE'!I14</f>
        <v>-4.7404797577474955E-3</v>
      </c>
      <c r="K15" s="42">
        <f t="shared" si="4"/>
        <v>1.25</v>
      </c>
      <c r="L15" s="46">
        <f>'[1]CAGR, ROCE'!G56</f>
        <v>4.2606516290726815E-2</v>
      </c>
      <c r="M15" s="42">
        <f t="shared" si="5"/>
        <v>3.75</v>
      </c>
      <c r="N15" s="43">
        <v>-7.44</v>
      </c>
      <c r="O15" s="43">
        <f t="shared" si="6"/>
        <v>3.375</v>
      </c>
      <c r="P15" s="43">
        <v>0</v>
      </c>
      <c r="Q15" s="43" t="str">
        <f t="shared" si="7"/>
        <v>0</v>
      </c>
      <c r="R15" s="46">
        <v>5.5E-2</v>
      </c>
      <c r="S15" s="42">
        <f t="shared" si="8"/>
        <v>6.75</v>
      </c>
      <c r="T15" s="47">
        <v>1</v>
      </c>
      <c r="U15" s="46" t="str">
        <f t="shared" si="9"/>
        <v>1</v>
      </c>
      <c r="V15" s="46">
        <v>3.6400000000000002E-2</v>
      </c>
      <c r="W15" s="42">
        <f t="shared" si="10"/>
        <v>10.125</v>
      </c>
      <c r="X15" s="47">
        <v>1</v>
      </c>
      <c r="Y15" s="46" t="str">
        <f t="shared" si="11"/>
        <v>1,5</v>
      </c>
      <c r="Z15" s="46">
        <v>1.77E-2</v>
      </c>
      <c r="AA15" s="42">
        <f t="shared" si="12"/>
        <v>11.25</v>
      </c>
      <c r="AB15" s="47">
        <v>1</v>
      </c>
      <c r="AC15" s="46" t="str">
        <f t="shared" si="13"/>
        <v>1,5</v>
      </c>
      <c r="AD15" s="48">
        <f>'[1]CAGR, ROCE'!K77</f>
        <v>1.0378256912205359</v>
      </c>
      <c r="AE15" s="48">
        <f t="shared" si="14"/>
        <v>3.375</v>
      </c>
      <c r="AF15" s="47">
        <f>IF(('[1]CAGR, ROCE'!K77-'[1]CAGR, ROCE'!J77)&gt;0,1,0)</f>
        <v>1</v>
      </c>
      <c r="AG15" s="48" t="str">
        <f t="shared" si="15"/>
        <v>0,5</v>
      </c>
      <c r="AH15" s="46">
        <f>'[1]CAGR, ROCE'!Q37</f>
        <v>0.113639946220737</v>
      </c>
      <c r="AI15" s="42">
        <f t="shared" si="16"/>
        <v>6.75</v>
      </c>
      <c r="AJ15" s="39">
        <f>IF(('[1]CAGR, ROCE'!Q37-'[1]CAGR, ROCE'!P37)&gt;0,1,0)</f>
        <v>1</v>
      </c>
      <c r="AK15" s="39" t="str">
        <f t="shared" si="17"/>
        <v>1</v>
      </c>
      <c r="AL15" s="38">
        <f t="shared" si="18"/>
        <v>75.375</v>
      </c>
    </row>
    <row r="16" spans="1:38">
      <c r="A16" s="77" t="s">
        <v>518</v>
      </c>
      <c r="B16" s="43">
        <v>2.5</v>
      </c>
      <c r="C16" s="43">
        <f t="shared" si="0"/>
        <v>10.125</v>
      </c>
      <c r="D16" s="39">
        <v>1</v>
      </c>
      <c r="E16" s="39">
        <f t="shared" si="1"/>
        <v>1.5</v>
      </c>
      <c r="F16" s="43">
        <v>7.3</v>
      </c>
      <c r="G16" s="43">
        <f t="shared" si="2"/>
        <v>10.125</v>
      </c>
      <c r="H16" s="39">
        <v>1</v>
      </c>
      <c r="I16" s="39">
        <f t="shared" si="3"/>
        <v>1.5</v>
      </c>
      <c r="J16" s="46">
        <f>'[1]CAGR, ROCE'!I15</f>
        <v>0.28070114288911219</v>
      </c>
      <c r="K16" s="42">
        <f t="shared" si="4"/>
        <v>5</v>
      </c>
      <c r="L16" s="46">
        <f>'[1]CAGR, ROCE'!G57</f>
        <v>1.5077871185986536</v>
      </c>
      <c r="M16" s="42">
        <f t="shared" si="5"/>
        <v>5</v>
      </c>
      <c r="N16" s="43">
        <v>150.88</v>
      </c>
      <c r="O16" s="43">
        <f t="shared" si="6"/>
        <v>1.125</v>
      </c>
      <c r="P16" s="43">
        <v>0</v>
      </c>
      <c r="Q16" s="43" t="str">
        <f t="shared" si="7"/>
        <v>0</v>
      </c>
      <c r="R16" s="46">
        <v>2.7900000000000001E-2</v>
      </c>
      <c r="S16" s="42">
        <f t="shared" si="8"/>
        <v>6.75</v>
      </c>
      <c r="T16" s="47">
        <v>1</v>
      </c>
      <c r="U16" s="46" t="str">
        <f t="shared" si="9"/>
        <v>1</v>
      </c>
      <c r="V16" s="46">
        <v>1.5299999999999999E-2</v>
      </c>
      <c r="W16" s="42">
        <f t="shared" si="10"/>
        <v>10.125</v>
      </c>
      <c r="X16" s="47">
        <v>1</v>
      </c>
      <c r="Y16" s="46" t="str">
        <f t="shared" si="11"/>
        <v>1,5</v>
      </c>
      <c r="Z16" s="46">
        <v>1.9800000000000002E-2</v>
      </c>
      <c r="AA16" s="42">
        <f t="shared" si="12"/>
        <v>11.25</v>
      </c>
      <c r="AB16" s="47">
        <v>1</v>
      </c>
      <c r="AC16" s="46" t="str">
        <f t="shared" si="13"/>
        <v>1,5</v>
      </c>
      <c r="AD16" s="48">
        <f>'[1]CAGR, ROCE'!K78</f>
        <v>1.015552188262677</v>
      </c>
      <c r="AE16" s="48">
        <f t="shared" si="14"/>
        <v>2.25</v>
      </c>
      <c r="AF16" s="47">
        <f>IF(('[1]CAGR, ROCE'!K78-'[1]CAGR, ROCE'!J78)&gt;0,1,0)</f>
        <v>1</v>
      </c>
      <c r="AG16" s="48" t="str">
        <f t="shared" si="15"/>
        <v>0,5</v>
      </c>
      <c r="AH16" s="46">
        <f>'[1]CAGR, ROCE'!Q38</f>
        <v>8.2048555060836012E-2</v>
      </c>
      <c r="AI16" s="42">
        <f t="shared" si="16"/>
        <v>4.5</v>
      </c>
      <c r="AJ16" s="39">
        <f>IF(('[1]CAGR, ROCE'!Q38-'[1]CAGR, ROCE'!P38)&gt;0,1,0)</f>
        <v>1</v>
      </c>
      <c r="AK16" s="39" t="str">
        <f t="shared" si="17"/>
        <v>1</v>
      </c>
      <c r="AL16" s="38">
        <f t="shared" si="18"/>
        <v>74.75</v>
      </c>
    </row>
    <row r="17" spans="1:38">
      <c r="A17" s="77" t="s">
        <v>517</v>
      </c>
      <c r="B17" s="43">
        <v>3.7</v>
      </c>
      <c r="C17" s="43">
        <f t="shared" si="0"/>
        <v>10.125</v>
      </c>
      <c r="D17" s="39">
        <v>1</v>
      </c>
      <c r="E17" s="39">
        <f t="shared" si="1"/>
        <v>1.5</v>
      </c>
      <c r="F17" s="43">
        <v>2520.5</v>
      </c>
      <c r="G17" s="43">
        <f t="shared" si="2"/>
        <v>13.5</v>
      </c>
      <c r="H17" s="39">
        <v>1</v>
      </c>
      <c r="I17" s="39">
        <f t="shared" si="3"/>
        <v>1.5</v>
      </c>
      <c r="J17" s="46">
        <f>'[1]CAGR, ROCE'!I16</f>
        <v>0.22574491786929363</v>
      </c>
      <c r="K17" s="42">
        <f t="shared" si="4"/>
        <v>5</v>
      </c>
      <c r="L17" s="46">
        <f>'[1]CAGR, ROCE'!G58</f>
        <v>0.42565861868082078</v>
      </c>
      <c r="M17" s="42">
        <f t="shared" si="5"/>
        <v>5</v>
      </c>
      <c r="N17" s="43">
        <v>23.59</v>
      </c>
      <c r="O17" s="43">
        <f t="shared" si="6"/>
        <v>1.125</v>
      </c>
      <c r="P17" s="43">
        <v>1</v>
      </c>
      <c r="Q17" s="43" t="str">
        <f t="shared" si="7"/>
        <v>0,5</v>
      </c>
      <c r="R17" s="46">
        <v>5.0900000000000001E-2</v>
      </c>
      <c r="S17" s="42">
        <f t="shared" si="8"/>
        <v>6.75</v>
      </c>
      <c r="T17" s="47">
        <v>0</v>
      </c>
      <c r="U17" s="46" t="str">
        <f t="shared" si="9"/>
        <v>0</v>
      </c>
      <c r="V17" s="46">
        <v>2.1499999999999998E-2</v>
      </c>
      <c r="W17" s="42">
        <f t="shared" si="10"/>
        <v>10.125</v>
      </c>
      <c r="X17" s="47">
        <v>0</v>
      </c>
      <c r="Y17" s="46" t="str">
        <f t="shared" si="11"/>
        <v>0</v>
      </c>
      <c r="Z17" s="46">
        <v>1.18E-2</v>
      </c>
      <c r="AA17" s="42">
        <f t="shared" si="12"/>
        <v>11.25</v>
      </c>
      <c r="AB17" s="47">
        <v>1</v>
      </c>
      <c r="AC17" s="46" t="str">
        <f t="shared" si="13"/>
        <v>1,5</v>
      </c>
      <c r="AD17" s="48">
        <f>'[1]CAGR, ROCE'!K79</f>
        <v>1.0220158324041726</v>
      </c>
      <c r="AE17" s="48">
        <f t="shared" si="14"/>
        <v>2.25</v>
      </c>
      <c r="AF17" s="47">
        <f>IF(('[1]CAGR, ROCE'!K79-'[1]CAGR, ROCE'!J79)&gt;0,1,0)</f>
        <v>1</v>
      </c>
      <c r="AG17" s="48" t="str">
        <f t="shared" si="15"/>
        <v>0,5</v>
      </c>
      <c r="AH17" s="46">
        <f>'[1]CAGR, ROCE'!Q39</f>
        <v>0.24969803201881988</v>
      </c>
      <c r="AI17" s="42">
        <f t="shared" si="16"/>
        <v>9</v>
      </c>
      <c r="AJ17" s="39">
        <f>IF(('[1]CAGR, ROCE'!Q39-'[1]CAGR, ROCE'!P39)&gt;0,1,0)</f>
        <v>0</v>
      </c>
      <c r="AK17" s="39" t="str">
        <f t="shared" si="17"/>
        <v>0</v>
      </c>
      <c r="AL17" s="38">
        <f t="shared" si="18"/>
        <v>79.625</v>
      </c>
    </row>
    <row r="18" spans="1:38">
      <c r="A18" s="77" t="s">
        <v>516</v>
      </c>
      <c r="B18" s="43">
        <v>2.7</v>
      </c>
      <c r="C18" s="43">
        <f t="shared" si="0"/>
        <v>10.125</v>
      </c>
      <c r="D18" s="39">
        <v>1</v>
      </c>
      <c r="E18" s="39">
        <f t="shared" si="1"/>
        <v>1.5</v>
      </c>
      <c r="F18" s="43">
        <v>3.7</v>
      </c>
      <c r="G18" s="43">
        <f t="shared" si="2"/>
        <v>6.75</v>
      </c>
      <c r="H18" s="39">
        <v>1</v>
      </c>
      <c r="I18" s="39">
        <f t="shared" si="3"/>
        <v>1.5</v>
      </c>
      <c r="J18" s="46">
        <f>'[1]CAGR, ROCE'!I17</f>
        <v>1.7421307500629313E-2</v>
      </c>
      <c r="K18" s="42">
        <f t="shared" si="4"/>
        <v>2.5</v>
      </c>
      <c r="L18" s="46">
        <f>'[1]CAGR, ROCE'!G59</f>
        <v>18.128656716417911</v>
      </c>
      <c r="M18" s="42">
        <f t="shared" si="5"/>
        <v>5</v>
      </c>
      <c r="N18" s="43">
        <v>105.04</v>
      </c>
      <c r="O18" s="43">
        <f t="shared" si="6"/>
        <v>1.125</v>
      </c>
      <c r="P18" s="43">
        <v>0</v>
      </c>
      <c r="Q18" s="43" t="str">
        <f t="shared" si="7"/>
        <v>0</v>
      </c>
      <c r="R18" s="46">
        <v>7.3300000000000004E-2</v>
      </c>
      <c r="S18" s="42">
        <f t="shared" si="8"/>
        <v>6.75</v>
      </c>
      <c r="T18" s="47">
        <v>1</v>
      </c>
      <c r="U18" s="46" t="str">
        <f t="shared" si="9"/>
        <v>1</v>
      </c>
      <c r="V18" s="46">
        <v>2.7E-2</v>
      </c>
      <c r="W18" s="42">
        <f t="shared" si="10"/>
        <v>10.125</v>
      </c>
      <c r="X18" s="47">
        <v>1</v>
      </c>
      <c r="Y18" s="46" t="str">
        <f t="shared" si="11"/>
        <v>1,5</v>
      </c>
      <c r="Z18" s="46">
        <v>2.7900000000000001E-2</v>
      </c>
      <c r="AA18" s="42">
        <f t="shared" si="12"/>
        <v>11.25</v>
      </c>
      <c r="AB18" s="47">
        <v>1</v>
      </c>
      <c r="AC18" s="46" t="str">
        <f t="shared" si="13"/>
        <v>1,5</v>
      </c>
      <c r="AD18" s="48">
        <f>'[1]CAGR, ROCE'!K80</f>
        <v>1.0277855581553259</v>
      </c>
      <c r="AE18" s="48">
        <f t="shared" si="14"/>
        <v>3.375</v>
      </c>
      <c r="AF18" s="47">
        <f>IF(('[1]CAGR, ROCE'!K80-'[1]CAGR, ROCE'!J80)&gt;0,1,0)</f>
        <v>1</v>
      </c>
      <c r="AG18" s="48" t="str">
        <f t="shared" si="15"/>
        <v>0,5</v>
      </c>
      <c r="AH18" s="46">
        <f>'[1]CAGR, ROCE'!Q40</f>
        <v>3.5679843689172076E-2</v>
      </c>
      <c r="AI18" s="42">
        <f t="shared" si="16"/>
        <v>4.5</v>
      </c>
      <c r="AJ18" s="39">
        <f>IF(('[1]CAGR, ROCE'!Q40-'[1]CAGR, ROCE'!P40)&gt;0,1,0)</f>
        <v>1</v>
      </c>
      <c r="AK18" s="39" t="str">
        <f t="shared" si="17"/>
        <v>1</v>
      </c>
      <c r="AL18" s="38">
        <f t="shared" si="18"/>
        <v>70</v>
      </c>
    </row>
    <row r="20" spans="1:38" ht="18.75">
      <c r="A20" s="17" t="s">
        <v>60</v>
      </c>
      <c r="B20" s="17" t="s">
        <v>59</v>
      </c>
      <c r="C20" s="17"/>
      <c r="D20" s="17"/>
      <c r="E20" s="17"/>
      <c r="F20" s="17" t="s">
        <v>58</v>
      </c>
      <c r="G20" s="17"/>
      <c r="H20" s="16"/>
      <c r="I20" s="16"/>
      <c r="J20" s="16"/>
      <c r="K20" s="16"/>
      <c r="L20" s="16" t="s">
        <v>57</v>
      </c>
      <c r="M20" s="16"/>
    </row>
    <row r="21" spans="1:38" ht="17.25">
      <c r="A21" s="11" t="s">
        <v>56</v>
      </c>
      <c r="B21" s="9">
        <v>13.5</v>
      </c>
      <c r="C21" s="9"/>
      <c r="D21" s="10"/>
      <c r="E21" s="10"/>
      <c r="F21" s="9">
        <v>1.5</v>
      </c>
      <c r="G21" s="9"/>
      <c r="H21" s="8"/>
      <c r="I21" s="8"/>
      <c r="J21" s="8"/>
      <c r="K21" s="8"/>
      <c r="L21" s="9">
        <f>B21+F21</f>
        <v>15</v>
      </c>
      <c r="M21" s="9"/>
    </row>
    <row r="22" spans="1:38">
      <c r="A22" t="s">
        <v>572</v>
      </c>
      <c r="B22" s="3">
        <f>B21*0.25</f>
        <v>3.375</v>
      </c>
      <c r="C22" s="3"/>
      <c r="D22" s="3"/>
      <c r="E22" s="3"/>
      <c r="F22" s="3" t="s">
        <v>7</v>
      </c>
      <c r="G22" s="3"/>
      <c r="H22">
        <v>1.5</v>
      </c>
    </row>
    <row r="23" spans="1:38">
      <c r="A23" t="s">
        <v>571</v>
      </c>
      <c r="B23" s="3">
        <f>B21*0.5</f>
        <v>6.75</v>
      </c>
      <c r="C23" s="3"/>
      <c r="D23" s="3"/>
      <c r="E23" s="3"/>
      <c r="F23" s="3" t="s">
        <v>4</v>
      </c>
      <c r="G23" s="3"/>
      <c r="H23">
        <v>0</v>
      </c>
    </row>
    <row r="24" spans="1:38">
      <c r="A24" t="s">
        <v>570</v>
      </c>
      <c r="B24" s="3">
        <f>B21*0.75</f>
        <v>10.125</v>
      </c>
      <c r="C24" s="3"/>
      <c r="D24" s="3"/>
      <c r="E24" s="3"/>
      <c r="F24" s="3"/>
      <c r="G24" s="3"/>
    </row>
    <row r="25" spans="1:38">
      <c r="A25" t="s">
        <v>569</v>
      </c>
      <c r="B25" s="3">
        <f>B21*1</f>
        <v>13.5</v>
      </c>
      <c r="C25" s="3"/>
      <c r="D25" s="3"/>
      <c r="E25" s="3"/>
      <c r="F25" s="3"/>
      <c r="G25" s="3"/>
    </row>
    <row r="26" spans="1:38">
      <c r="B26" s="3"/>
      <c r="C26" s="3"/>
      <c r="D26" s="3"/>
      <c r="E26" s="3"/>
      <c r="F26" s="3"/>
      <c r="G26" s="3"/>
    </row>
    <row r="27" spans="1:38" ht="17.25">
      <c r="A27" s="11" t="s">
        <v>51</v>
      </c>
      <c r="B27" s="228">
        <v>13.5</v>
      </c>
      <c r="C27" s="3"/>
      <c r="D27" s="3"/>
      <c r="E27" s="3"/>
      <c r="F27" s="3"/>
      <c r="G27" s="3"/>
    </row>
    <row r="28" spans="1:38">
      <c r="A28" t="s">
        <v>568</v>
      </c>
      <c r="B28" s="227">
        <v>3.375</v>
      </c>
      <c r="C28" s="9"/>
      <c r="D28" s="10"/>
      <c r="E28" s="10"/>
      <c r="F28" s="9">
        <v>1.5</v>
      </c>
      <c r="G28" s="9"/>
      <c r="H28" s="8"/>
      <c r="I28" s="8"/>
      <c r="J28" s="8"/>
      <c r="K28" s="8"/>
      <c r="L28" s="9">
        <f>F28+B27</f>
        <v>15</v>
      </c>
      <c r="M28" s="9"/>
    </row>
    <row r="29" spans="1:38">
      <c r="A29" t="s">
        <v>567</v>
      </c>
      <c r="B29" s="3">
        <v>6.75</v>
      </c>
      <c r="C29" s="3"/>
      <c r="D29" s="3"/>
      <c r="E29" s="3"/>
      <c r="F29" s="3" t="s">
        <v>7</v>
      </c>
      <c r="G29" s="3"/>
      <c r="H29">
        <v>1.5</v>
      </c>
    </row>
    <row r="30" spans="1:38">
      <c r="A30" t="s">
        <v>566</v>
      </c>
      <c r="B30" s="3">
        <v>10.125</v>
      </c>
      <c r="C30" s="3"/>
      <c r="D30" s="3"/>
      <c r="E30" s="3"/>
      <c r="F30" s="3" t="s">
        <v>4</v>
      </c>
      <c r="G30" s="3"/>
      <c r="H30">
        <v>0</v>
      </c>
    </row>
    <row r="31" spans="1:38">
      <c r="A31" t="s">
        <v>565</v>
      </c>
      <c r="B31" s="3">
        <v>13.5</v>
      </c>
      <c r="C31" s="3"/>
      <c r="D31" s="3"/>
      <c r="E31" s="3"/>
      <c r="F31" s="3"/>
      <c r="G31" s="3"/>
    </row>
    <row r="32" spans="1:38">
      <c r="B32" s="3"/>
      <c r="C32" s="3"/>
      <c r="D32" s="3"/>
      <c r="E32" s="3"/>
      <c r="F32" s="3"/>
      <c r="G32" s="3"/>
    </row>
    <row r="33" spans="1:13">
      <c r="B33" s="3"/>
      <c r="C33" s="3"/>
      <c r="D33" s="3"/>
      <c r="E33" s="3"/>
      <c r="F33" s="3"/>
      <c r="G33" s="3"/>
    </row>
    <row r="34" spans="1:13" ht="17.25">
      <c r="A34" s="11" t="s">
        <v>46</v>
      </c>
      <c r="B34" s="5">
        <v>5</v>
      </c>
      <c r="C34" s="5"/>
      <c r="D34" s="3"/>
      <c r="E34" s="3"/>
      <c r="F34" s="3"/>
      <c r="G34" s="3"/>
      <c r="L34" s="2">
        <f>B34</f>
        <v>5</v>
      </c>
      <c r="M34" s="2"/>
    </row>
    <row r="35" spans="1:13">
      <c r="A35" t="s">
        <v>564</v>
      </c>
      <c r="B35" s="3">
        <f>B34*0.25</f>
        <v>1.25</v>
      </c>
      <c r="C35" s="3"/>
      <c r="D35" s="4">
        <f>QUARTILE(J4:J18,1)</f>
        <v>8.6304507989671819E-3</v>
      </c>
      <c r="E35" s="3" t="s">
        <v>8</v>
      </c>
      <c r="F35" s="3"/>
      <c r="G35" s="3"/>
    </row>
    <row r="36" spans="1:13">
      <c r="A36" t="s">
        <v>563</v>
      </c>
      <c r="B36" s="3">
        <f>B34*0.5</f>
        <v>2.5</v>
      </c>
      <c r="C36" s="3"/>
      <c r="D36" s="4">
        <f>QUARTILE(J4:J18,2)</f>
        <v>4.4116224196789844E-2</v>
      </c>
      <c r="E36" s="3" t="s">
        <v>5</v>
      </c>
      <c r="F36" s="3"/>
      <c r="G36" s="3"/>
    </row>
    <row r="37" spans="1:13">
      <c r="A37" t="s">
        <v>562</v>
      </c>
      <c r="B37" s="3">
        <f>B34*0.75</f>
        <v>3.75</v>
      </c>
      <c r="C37" s="3"/>
      <c r="D37" s="4">
        <f>QUARTILE(J4:J18,3)</f>
        <v>7.1723756523965787E-2</v>
      </c>
      <c r="E37" s="3" t="s">
        <v>2</v>
      </c>
      <c r="F37" s="3"/>
      <c r="G37" s="3"/>
    </row>
    <row r="38" spans="1:13">
      <c r="A38" t="s">
        <v>561</v>
      </c>
      <c r="B38" s="3">
        <f>B34*1</f>
        <v>5</v>
      </c>
      <c r="C38" s="3"/>
      <c r="D38" s="3"/>
      <c r="E38" s="3"/>
      <c r="F38" s="3"/>
      <c r="G38" s="3"/>
    </row>
    <row r="39" spans="1:13">
      <c r="B39" s="3"/>
      <c r="C39" s="3"/>
      <c r="D39" s="3"/>
      <c r="E39" s="3"/>
      <c r="F39" s="3"/>
      <c r="G39" s="3"/>
    </row>
    <row r="40" spans="1:13" ht="17.25">
      <c r="A40" s="11" t="s">
        <v>41</v>
      </c>
      <c r="B40" s="5">
        <v>5</v>
      </c>
      <c r="C40" s="5"/>
      <c r="D40" s="3"/>
      <c r="E40" s="3"/>
      <c r="F40" s="3"/>
      <c r="G40" s="3"/>
      <c r="L40" s="2">
        <f>B40</f>
        <v>5</v>
      </c>
      <c r="M40" s="2"/>
    </row>
    <row r="41" spans="1:13">
      <c r="A41" t="s">
        <v>560</v>
      </c>
      <c r="B41" s="3">
        <f>B40*0.25</f>
        <v>1.25</v>
      </c>
      <c r="C41" s="3"/>
      <c r="D41" s="54">
        <f>QUARTILE(L4:L18,1)</f>
        <v>-0.12739942343240007</v>
      </c>
      <c r="E41" s="3" t="s">
        <v>8</v>
      </c>
      <c r="F41" s="3"/>
      <c r="G41" s="3"/>
    </row>
    <row r="42" spans="1:13">
      <c r="A42" t="s">
        <v>559</v>
      </c>
      <c r="B42" s="3">
        <f>B40*0.5</f>
        <v>2.5</v>
      </c>
      <c r="C42" s="3"/>
      <c r="D42" s="54">
        <f>QUARTILE(L4:L18,2)</f>
        <v>9.1004632807137956E-3</v>
      </c>
      <c r="E42" s="3" t="s">
        <v>5</v>
      </c>
      <c r="F42" s="3"/>
      <c r="G42" s="3"/>
    </row>
    <row r="43" spans="1:13">
      <c r="A43" t="s">
        <v>558</v>
      </c>
      <c r="B43" s="3">
        <f>B40*0.75</f>
        <v>3.75</v>
      </c>
      <c r="C43" s="3"/>
      <c r="D43" s="54">
        <f>QUARTILE(L4:L18,3)</f>
        <v>0.2973589954959287</v>
      </c>
      <c r="E43" s="3" t="s">
        <v>2</v>
      </c>
      <c r="F43" s="3"/>
      <c r="G43" s="3"/>
    </row>
    <row r="44" spans="1:13">
      <c r="A44" t="s">
        <v>557</v>
      </c>
      <c r="B44" s="3">
        <f>B40*1</f>
        <v>5</v>
      </c>
      <c r="C44" s="3"/>
      <c r="D44" s="3"/>
      <c r="E44" s="3"/>
      <c r="F44" s="3"/>
      <c r="G44" s="3"/>
    </row>
    <row r="45" spans="1:13">
      <c r="B45" s="3"/>
      <c r="C45" s="3"/>
      <c r="D45" s="3"/>
      <c r="E45" s="3"/>
      <c r="F45" s="3"/>
      <c r="G45" s="3"/>
    </row>
    <row r="46" spans="1:13" ht="34.5">
      <c r="A46" s="6" t="s">
        <v>36</v>
      </c>
      <c r="B46" s="5">
        <v>4.5</v>
      </c>
      <c r="C46" s="5"/>
      <c r="D46" s="5"/>
      <c r="E46" s="5"/>
      <c r="F46" s="5">
        <v>0.5</v>
      </c>
      <c r="G46" s="5"/>
      <c r="H46" s="7"/>
      <c r="I46" s="7"/>
      <c r="J46" s="7"/>
      <c r="K46" s="7"/>
      <c r="L46" s="5">
        <f>B46+F46</f>
        <v>5</v>
      </c>
      <c r="M46" s="5"/>
    </row>
    <row r="47" spans="1:13">
      <c r="A47" t="s">
        <v>556</v>
      </c>
      <c r="B47" s="3">
        <v>4.5</v>
      </c>
      <c r="C47" s="3"/>
      <c r="D47" s="3">
        <f>QUARTILE(N4:N18,1)</f>
        <v>-24.925000000000001</v>
      </c>
      <c r="E47" s="3" t="s">
        <v>8</v>
      </c>
      <c r="F47" s="3" t="s">
        <v>7</v>
      </c>
      <c r="G47" s="3"/>
      <c r="H47">
        <v>0.5</v>
      </c>
    </row>
    <row r="48" spans="1:13">
      <c r="A48" t="s">
        <v>555</v>
      </c>
      <c r="B48" s="3">
        <v>3.375</v>
      </c>
      <c r="C48" s="3"/>
      <c r="D48" s="3">
        <f>QUARTILE(N4:N18,2)</f>
        <v>-7.44</v>
      </c>
      <c r="E48" s="3" t="s">
        <v>5</v>
      </c>
      <c r="F48" s="3" t="s">
        <v>4</v>
      </c>
      <c r="G48" s="3"/>
      <c r="H48">
        <v>0</v>
      </c>
    </row>
    <row r="49" spans="1:13">
      <c r="A49" t="s">
        <v>554</v>
      </c>
      <c r="B49" s="3">
        <v>2.25</v>
      </c>
      <c r="C49" s="3"/>
      <c r="D49" s="3">
        <f>QUARTILE(N4:N18,3)</f>
        <v>21.384999999999998</v>
      </c>
      <c r="E49" s="3" t="s">
        <v>2</v>
      </c>
      <c r="F49" s="3"/>
      <c r="G49" s="3"/>
    </row>
    <row r="50" spans="1:13">
      <c r="A50" t="s">
        <v>553</v>
      </c>
      <c r="B50" s="3">
        <v>1.125</v>
      </c>
      <c r="C50" s="3"/>
      <c r="D50" s="3"/>
      <c r="E50" s="3"/>
      <c r="F50" s="3"/>
      <c r="G50" s="3"/>
    </row>
    <row r="51" spans="1:13">
      <c r="B51" s="3"/>
      <c r="C51" s="3"/>
      <c r="D51" s="3"/>
      <c r="E51" s="3"/>
      <c r="F51" s="3"/>
      <c r="G51" s="3"/>
    </row>
    <row r="52" spans="1:13" ht="17.25">
      <c r="A52" s="6" t="s">
        <v>31</v>
      </c>
      <c r="B52" s="5">
        <v>9</v>
      </c>
      <c r="C52" s="5"/>
      <c r="D52" s="5"/>
      <c r="E52" s="5"/>
      <c r="F52" s="5">
        <v>1</v>
      </c>
      <c r="G52" s="5"/>
      <c r="H52" s="7"/>
      <c r="I52" s="7"/>
      <c r="J52" s="7"/>
      <c r="K52" s="7"/>
      <c r="L52" s="5">
        <v>10</v>
      </c>
      <c r="M52" s="5"/>
    </row>
    <row r="53" spans="1:13">
      <c r="A53" t="s">
        <v>552</v>
      </c>
      <c r="B53" s="3">
        <f>B52*0.25</f>
        <v>2.25</v>
      </c>
      <c r="C53" s="3"/>
      <c r="D53" s="3"/>
      <c r="E53" s="3"/>
      <c r="F53" s="3" t="s">
        <v>7</v>
      </c>
      <c r="G53" s="3"/>
      <c r="H53">
        <v>1</v>
      </c>
    </row>
    <row r="54" spans="1:13">
      <c r="A54" t="s">
        <v>551</v>
      </c>
      <c r="B54" s="3">
        <f>B52*0.5</f>
        <v>4.5</v>
      </c>
      <c r="C54" s="3"/>
      <c r="D54" s="3"/>
      <c r="E54" s="3"/>
      <c r="F54" s="3" t="s">
        <v>4</v>
      </c>
      <c r="G54" s="3"/>
      <c r="H54">
        <v>0</v>
      </c>
    </row>
    <row r="55" spans="1:13">
      <c r="A55" t="s">
        <v>550</v>
      </c>
      <c r="B55" s="3">
        <f>B52*0.75</f>
        <v>6.75</v>
      </c>
      <c r="C55" s="3"/>
      <c r="D55" s="3"/>
      <c r="E55" s="3"/>
      <c r="F55" s="3"/>
      <c r="G55" s="3"/>
    </row>
    <row r="56" spans="1:13">
      <c r="A56" t="s">
        <v>549</v>
      </c>
      <c r="B56" s="3">
        <f>B52*1</f>
        <v>9</v>
      </c>
      <c r="C56" s="3"/>
      <c r="D56" s="3"/>
      <c r="E56" s="3"/>
      <c r="F56" s="3"/>
      <c r="G56" s="3"/>
    </row>
    <row r="57" spans="1:13">
      <c r="B57" s="3"/>
      <c r="C57" s="3"/>
      <c r="D57" s="3"/>
      <c r="E57" s="3"/>
      <c r="F57" s="3"/>
      <c r="G57" s="3"/>
    </row>
    <row r="58" spans="1:13" ht="34.5">
      <c r="A58" s="6" t="s">
        <v>26</v>
      </c>
      <c r="B58" s="5">
        <v>13.5</v>
      </c>
      <c r="C58" s="5"/>
      <c r="D58" s="5"/>
      <c r="E58" s="5"/>
      <c r="F58" s="5">
        <v>1.5</v>
      </c>
      <c r="G58" s="5"/>
      <c r="H58" s="7"/>
      <c r="I58" s="7"/>
      <c r="J58" s="7"/>
      <c r="K58" s="7"/>
      <c r="L58" s="5">
        <v>15</v>
      </c>
      <c r="M58" s="5"/>
    </row>
    <row r="59" spans="1:13">
      <c r="A59" t="s">
        <v>374</v>
      </c>
      <c r="B59" s="3">
        <f>B58*0.25</f>
        <v>3.375</v>
      </c>
      <c r="C59" s="3"/>
      <c r="D59" s="3"/>
      <c r="E59" s="3"/>
      <c r="F59" s="3" t="s">
        <v>7</v>
      </c>
      <c r="G59" s="3"/>
      <c r="H59">
        <v>1.5</v>
      </c>
    </row>
    <row r="60" spans="1:13">
      <c r="A60" t="s">
        <v>548</v>
      </c>
      <c r="B60" s="3">
        <f>B58*0.5</f>
        <v>6.75</v>
      </c>
      <c r="C60" s="3"/>
      <c r="D60" s="3"/>
      <c r="E60" s="3"/>
      <c r="F60" s="3" t="s">
        <v>4</v>
      </c>
      <c r="G60" s="3"/>
      <c r="H60">
        <v>0</v>
      </c>
    </row>
    <row r="61" spans="1:13">
      <c r="A61" t="s">
        <v>547</v>
      </c>
      <c r="B61" s="3">
        <f>B58*0.75</f>
        <v>10.125</v>
      </c>
      <c r="C61" s="3"/>
      <c r="D61" s="3"/>
      <c r="E61" s="3"/>
      <c r="F61" s="3"/>
      <c r="G61" s="3"/>
    </row>
    <row r="62" spans="1:13">
      <c r="A62" t="s">
        <v>546</v>
      </c>
      <c r="B62" s="3">
        <f>B58*1</f>
        <v>13.5</v>
      </c>
      <c r="C62" s="3"/>
      <c r="D62" s="3"/>
      <c r="E62" s="3"/>
      <c r="F62" s="3"/>
      <c r="G62" s="3"/>
    </row>
    <row r="63" spans="1:13">
      <c r="B63" s="3"/>
      <c r="C63" s="3"/>
      <c r="D63" s="3"/>
      <c r="E63" s="3"/>
      <c r="F63" s="3"/>
      <c r="G63" s="3"/>
    </row>
    <row r="64" spans="1:13" ht="17.25">
      <c r="A64" s="6" t="s">
        <v>21</v>
      </c>
      <c r="B64" s="5">
        <v>15</v>
      </c>
      <c r="C64" s="5"/>
      <c r="D64" s="5"/>
      <c r="E64" s="5"/>
      <c r="F64" s="5">
        <v>1.5</v>
      </c>
      <c r="G64" s="5"/>
      <c r="H64" s="7"/>
      <c r="I64" s="7"/>
      <c r="J64" s="7"/>
      <c r="K64" s="7"/>
      <c r="L64" s="5">
        <v>15</v>
      </c>
      <c r="M64" s="5"/>
    </row>
    <row r="65" spans="1:13">
      <c r="A65" t="s">
        <v>545</v>
      </c>
      <c r="B65" s="3">
        <f>B64*0.25</f>
        <v>3.75</v>
      </c>
      <c r="C65" s="3"/>
      <c r="D65" s="3"/>
      <c r="E65" s="3"/>
      <c r="F65" s="3" t="s">
        <v>7</v>
      </c>
      <c r="G65" s="3"/>
      <c r="H65" s="5">
        <v>1.5</v>
      </c>
    </row>
    <row r="66" spans="1:13">
      <c r="A66" t="s">
        <v>544</v>
      </c>
      <c r="B66" s="3">
        <f>B64*0.5</f>
        <v>7.5</v>
      </c>
      <c r="C66" s="3"/>
      <c r="D66" s="3"/>
      <c r="E66" s="3"/>
      <c r="F66" s="3" t="s">
        <v>4</v>
      </c>
      <c r="G66" s="3"/>
      <c r="H66">
        <v>0</v>
      </c>
    </row>
    <row r="67" spans="1:13">
      <c r="A67" t="s">
        <v>543</v>
      </c>
      <c r="B67" s="3">
        <f>B64*0.75</f>
        <v>11.25</v>
      </c>
      <c r="C67" s="3"/>
      <c r="D67" s="3"/>
      <c r="E67" s="3"/>
      <c r="F67" s="3"/>
      <c r="G67" s="3"/>
    </row>
    <row r="68" spans="1:13">
      <c r="A68" t="s">
        <v>542</v>
      </c>
      <c r="B68" s="3">
        <f>B64*1</f>
        <v>15</v>
      </c>
      <c r="C68" s="3"/>
      <c r="D68" s="3"/>
      <c r="E68" s="3"/>
      <c r="F68" s="3"/>
      <c r="G68" s="3"/>
    </row>
    <row r="69" spans="1:13">
      <c r="B69" s="3"/>
      <c r="C69" s="3"/>
      <c r="D69" s="3"/>
      <c r="E69" s="3"/>
      <c r="F69" s="3"/>
      <c r="G69" s="3"/>
    </row>
    <row r="70" spans="1:13" ht="17.25">
      <c r="A70" s="225" t="s">
        <v>16</v>
      </c>
      <c r="B70" s="5">
        <v>4.5</v>
      </c>
      <c r="C70" s="5"/>
      <c r="D70" s="5"/>
      <c r="E70" s="5"/>
      <c r="F70" s="5">
        <v>0.5</v>
      </c>
      <c r="G70" s="5"/>
      <c r="H70" s="7"/>
      <c r="I70" s="7"/>
      <c r="J70" s="7"/>
      <c r="K70" s="7"/>
      <c r="L70" s="5">
        <v>5</v>
      </c>
      <c r="M70" s="5"/>
    </row>
    <row r="71" spans="1:13">
      <c r="A71" t="s">
        <v>541</v>
      </c>
      <c r="B71" s="3">
        <f>B70*0.25</f>
        <v>1.125</v>
      </c>
      <c r="C71" s="3"/>
      <c r="D71" s="226">
        <f>QUARTILE(AD4:AD18,1)</f>
        <v>1.0060586839437065</v>
      </c>
      <c r="E71" s="3" t="s">
        <v>8</v>
      </c>
      <c r="F71" s="3" t="s">
        <v>7</v>
      </c>
      <c r="G71" s="3"/>
      <c r="H71">
        <v>0.5</v>
      </c>
    </row>
    <row r="72" spans="1:13">
      <c r="A72" t="s">
        <v>540</v>
      </c>
      <c r="B72" s="3">
        <f>B70*0.5</f>
        <v>2.25</v>
      </c>
      <c r="C72" s="3"/>
      <c r="D72" s="226">
        <f>QUARTILE(AD4:AD18,2)</f>
        <v>1.0220158324041726</v>
      </c>
      <c r="E72" s="3" t="s">
        <v>5</v>
      </c>
      <c r="F72" s="3" t="s">
        <v>4</v>
      </c>
      <c r="G72" s="3"/>
      <c r="H72">
        <v>0</v>
      </c>
    </row>
    <row r="73" spans="1:13">
      <c r="A73" t="s">
        <v>539</v>
      </c>
      <c r="B73" s="3">
        <f>B70*0.75</f>
        <v>3.375</v>
      </c>
      <c r="C73" s="3"/>
      <c r="D73" s="226">
        <f>QUARTILE(AD4:AD18,3)</f>
        <v>1.0416422591447496</v>
      </c>
      <c r="E73" s="3" t="s">
        <v>2</v>
      </c>
      <c r="F73" s="3"/>
      <c r="G73" s="3"/>
    </row>
    <row r="74" spans="1:13">
      <c r="A74" t="s">
        <v>538</v>
      </c>
      <c r="B74" s="3">
        <f>B70*1</f>
        <v>4.5</v>
      </c>
      <c r="C74" s="3"/>
      <c r="D74" s="3"/>
      <c r="E74" s="3"/>
      <c r="F74" s="3"/>
      <c r="G74" s="3"/>
    </row>
    <row r="75" spans="1:13">
      <c r="B75" s="3"/>
      <c r="C75" s="3"/>
      <c r="D75" s="3"/>
      <c r="E75" s="3"/>
      <c r="F75" s="3"/>
      <c r="G75" s="3"/>
    </row>
    <row r="76" spans="1:13" ht="17.25">
      <c r="A76" s="225" t="s">
        <v>11</v>
      </c>
      <c r="B76" s="5">
        <v>9</v>
      </c>
      <c r="C76" s="5"/>
      <c r="D76" s="224">
        <f>QUARTILE(AH4:AH18,1)</f>
        <v>9.4062759285112943E-3</v>
      </c>
      <c r="E76" s="5" t="s">
        <v>8</v>
      </c>
      <c r="F76" s="5">
        <v>1</v>
      </c>
      <c r="G76" s="5"/>
      <c r="H76" s="5"/>
      <c r="I76" s="5"/>
      <c r="J76" s="5"/>
      <c r="K76" s="5"/>
      <c r="L76" s="5">
        <v>10</v>
      </c>
      <c r="M76" s="5"/>
    </row>
    <row r="77" spans="1:13">
      <c r="A77" t="s">
        <v>537</v>
      </c>
      <c r="B77" s="3">
        <f>B76*0.25</f>
        <v>2.25</v>
      </c>
      <c r="C77" s="3"/>
      <c r="D77" s="224">
        <f>QUARTILE(AH4:AH18,2)</f>
        <v>8.2048555060836012E-2</v>
      </c>
      <c r="E77" s="3" t="s">
        <v>5</v>
      </c>
      <c r="F77" s="3" t="s">
        <v>7</v>
      </c>
      <c r="G77" s="3"/>
      <c r="H77">
        <v>1</v>
      </c>
    </row>
    <row r="78" spans="1:13">
      <c r="A78" t="s">
        <v>536</v>
      </c>
      <c r="B78" s="3">
        <f>B76*0.5</f>
        <v>4.5</v>
      </c>
      <c r="C78" s="3"/>
      <c r="D78" s="224">
        <f>QUARTILE(AH4:AH18,3)</f>
        <v>0.18219633753809172</v>
      </c>
      <c r="E78" s="3" t="s">
        <v>2</v>
      </c>
      <c r="F78" s="3" t="s">
        <v>4</v>
      </c>
      <c r="G78" s="3"/>
      <c r="H78">
        <v>0</v>
      </c>
    </row>
    <row r="79" spans="1:13">
      <c r="A79" t="s">
        <v>535</v>
      </c>
      <c r="B79" s="3">
        <f>B76*0.75</f>
        <v>6.75</v>
      </c>
      <c r="C79" s="3"/>
      <c r="D79" s="3"/>
      <c r="E79" s="3"/>
      <c r="F79" s="3"/>
      <c r="G79" s="3"/>
    </row>
    <row r="80" spans="1:13">
      <c r="A80" t="s">
        <v>534</v>
      </c>
      <c r="B80" s="3">
        <f>B76*1</f>
        <v>9</v>
      </c>
      <c r="C80" s="3"/>
      <c r="D80" s="3"/>
      <c r="E80" s="3"/>
      <c r="F80" s="3"/>
      <c r="G80" s="3"/>
    </row>
    <row r="81" spans="1:13">
      <c r="B81" s="3"/>
      <c r="C81" s="3"/>
      <c r="D81" s="3"/>
      <c r="E81" s="3"/>
      <c r="F81" s="3"/>
      <c r="G81" s="3"/>
    </row>
    <row r="82" spans="1:13" ht="18.75">
      <c r="B82" s="504" t="s">
        <v>0</v>
      </c>
      <c r="C82" s="504"/>
      <c r="D82" s="504"/>
      <c r="E82" s="504"/>
      <c r="F82" s="504"/>
      <c r="G82" s="504"/>
      <c r="H82" s="504"/>
      <c r="I82" s="504"/>
      <c r="J82" s="504"/>
      <c r="K82" s="2"/>
      <c r="L82" s="1">
        <f>SUM(L21:L79)</f>
        <v>100</v>
      </c>
      <c r="M82" s="1"/>
    </row>
    <row r="92" spans="1:13" ht="30">
      <c r="A92" s="39"/>
      <c r="B92" s="51" t="s">
        <v>533</v>
      </c>
      <c r="C92" s="39" t="s">
        <v>532</v>
      </c>
      <c r="D92" s="39" t="s">
        <v>531</v>
      </c>
    </row>
    <row r="93" spans="1:13">
      <c r="A93" s="77" t="s">
        <v>530</v>
      </c>
      <c r="B93" s="43">
        <v>6.1</v>
      </c>
      <c r="C93" s="39">
        <f>'[1]CAGR, ROCE'!E26/'[1]CAGR, ROCE'!K26*100</f>
        <v>5.9913004410283373</v>
      </c>
      <c r="D93" s="223">
        <f t="shared" ref="D93:D107" si="19">(C93-B93)/B93</f>
        <v>-1.7819599831420067E-2</v>
      </c>
    </row>
    <row r="94" spans="1:13">
      <c r="A94" s="77" t="s">
        <v>529</v>
      </c>
      <c r="B94" s="43">
        <v>9.6999999999999993</v>
      </c>
      <c r="C94" s="39">
        <f>'[1]CAGR, ROCE'!E27/'[1]CAGR, ROCE'!K27*100</f>
        <v>9.5097332183637739</v>
      </c>
      <c r="D94" s="223">
        <f t="shared" si="19"/>
        <v>-1.9615132127445912E-2</v>
      </c>
    </row>
    <row r="95" spans="1:13">
      <c r="A95" s="77" t="s">
        <v>528</v>
      </c>
      <c r="B95" s="43">
        <v>6.1</v>
      </c>
      <c r="C95" s="39">
        <f>'[1]CAGR, ROCE'!E28/'[1]CAGR, ROCE'!K28*100</f>
        <v>7.2987422438918976</v>
      </c>
      <c r="D95" s="223">
        <f t="shared" si="19"/>
        <v>0.19651512194949147</v>
      </c>
    </row>
    <row r="96" spans="1:13">
      <c r="A96" s="77" t="s">
        <v>527</v>
      </c>
      <c r="B96" s="107">
        <v>1.6</v>
      </c>
      <c r="C96" s="39">
        <f>'[1]CAGR, ROCE'!E29/'[1]CAGR, ROCE'!K29*100</f>
        <v>1.5427993278495913</v>
      </c>
      <c r="D96" s="223">
        <f t="shared" si="19"/>
        <v>-3.5750420094005503E-2</v>
      </c>
    </row>
    <row r="97" spans="1:4">
      <c r="A97" s="77" t="s">
        <v>526</v>
      </c>
      <c r="B97" s="43">
        <v>-2.8</v>
      </c>
      <c r="C97" s="39">
        <f>'[1]CAGR, ROCE'!E30/'[1]CAGR, ROCE'!K30*100</f>
        <v>-2.6238614731543342</v>
      </c>
      <c r="D97" s="223">
        <f t="shared" si="19"/>
        <v>-6.2906616730594889E-2</v>
      </c>
    </row>
    <row r="98" spans="1:4">
      <c r="A98" s="77" t="s">
        <v>525</v>
      </c>
      <c r="B98" s="43">
        <v>-20.2</v>
      </c>
      <c r="C98" s="39">
        <f>'[1]CAGR, ROCE'!E31/'[1]CAGR, ROCE'!K31*100</f>
        <v>-23.81750763003577</v>
      </c>
      <c r="D98" s="223">
        <f t="shared" si="19"/>
        <v>0.17908453614038469</v>
      </c>
    </row>
    <row r="99" spans="1:4">
      <c r="A99" s="77" t="s">
        <v>524</v>
      </c>
      <c r="B99" s="43">
        <v>-92.6</v>
      </c>
      <c r="C99" s="39">
        <f>'[1]CAGR, ROCE'!E32/'[1]CAGR, ROCE'!K32*100</f>
        <v>-90.936285210150601</v>
      </c>
      <c r="D99" s="223">
        <f t="shared" si="19"/>
        <v>-1.796668239578179E-2</v>
      </c>
    </row>
    <row r="100" spans="1:4">
      <c r="A100" s="77" t="s">
        <v>523</v>
      </c>
      <c r="B100" s="43">
        <v>55</v>
      </c>
      <c r="C100" s="39">
        <f>'[1]CAGR, ROCE'!E33/'[1]CAGR, ROCE'!K33*100</f>
        <v>43.020434505405916</v>
      </c>
      <c r="D100" s="223">
        <f t="shared" si="19"/>
        <v>-0.21781028171989245</v>
      </c>
    </row>
    <row r="101" spans="1:4">
      <c r="A101" s="77" t="s">
        <v>522</v>
      </c>
      <c r="B101" s="43">
        <v>41.5</v>
      </c>
      <c r="C101" s="39">
        <f>'[1]CAGR, ROCE'!E34/'[1]CAGR, ROCE'!K34*100</f>
        <v>50.244597688478024</v>
      </c>
      <c r="D101" s="223">
        <f t="shared" si="19"/>
        <v>0.21071319731272345</v>
      </c>
    </row>
    <row r="102" spans="1:4">
      <c r="A102" s="77" t="s">
        <v>521</v>
      </c>
      <c r="B102" s="43">
        <v>-258.7</v>
      </c>
      <c r="C102" s="39">
        <f>'[1]CAGR, ROCE'!E35/'[1]CAGR, ROCE'!K35*100</f>
        <v>-158.84938321444733</v>
      </c>
      <c r="D102" s="223">
        <f t="shared" si="19"/>
        <v>-0.38597068722672079</v>
      </c>
    </row>
    <row r="103" spans="1:4">
      <c r="A103" s="77" t="s">
        <v>520</v>
      </c>
      <c r="B103" s="43">
        <v>67</v>
      </c>
      <c r="C103" s="39">
        <f>'[1]CAGR, ROCE'!E36/'[1]CAGR, ROCE'!K36*100</f>
        <v>55.177100851669678</v>
      </c>
      <c r="D103" s="223">
        <f t="shared" si="19"/>
        <v>-0.17646118131836303</v>
      </c>
    </row>
    <row r="104" spans="1:4">
      <c r="A104" s="77" t="s">
        <v>519</v>
      </c>
      <c r="B104" s="43">
        <v>23.1</v>
      </c>
      <c r="C104" s="39">
        <f>'[1]CAGR, ROCE'!E37/'[1]CAGR, ROCE'!K37*100</f>
        <v>24.840764331210192</v>
      </c>
      <c r="D104" s="223">
        <f t="shared" si="19"/>
        <v>7.5357763255852389E-2</v>
      </c>
    </row>
    <row r="105" spans="1:4">
      <c r="A105" s="77" t="s">
        <v>518</v>
      </c>
      <c r="B105" s="43">
        <v>7.3</v>
      </c>
      <c r="C105" s="39">
        <f>'[1]CAGR, ROCE'!E38/'[1]CAGR, ROCE'!K38*100</f>
        <v>6.9244808488974243</v>
      </c>
      <c r="D105" s="223">
        <f t="shared" si="19"/>
        <v>-5.1440979603092532E-2</v>
      </c>
    </row>
    <row r="106" spans="1:4">
      <c r="A106" s="77" t="s">
        <v>517</v>
      </c>
      <c r="B106" s="43">
        <v>2520.5</v>
      </c>
      <c r="C106" s="39">
        <f>'[1]CAGR, ROCE'!E39/'[1]CAGR, ROCE'!K39*100</f>
        <v>204.81703631375831</v>
      </c>
      <c r="D106" s="223">
        <f t="shared" si="19"/>
        <v>-0.91873952139902471</v>
      </c>
    </row>
    <row r="107" spans="1:4">
      <c r="A107" s="77" t="s">
        <v>516</v>
      </c>
      <c r="B107" s="43">
        <v>3.7</v>
      </c>
      <c r="C107" s="39">
        <f>'[1]CAGR, ROCE'!E40/'[1]CAGR, ROCE'!K40*100</f>
        <v>3.6332370230600359</v>
      </c>
      <c r="D107" s="223">
        <f t="shared" si="19"/>
        <v>-1.8044047821611956E-2</v>
      </c>
    </row>
  </sheetData>
  <mergeCells count="2">
    <mergeCell ref="A1:AJ2"/>
    <mergeCell ref="B82:J82"/>
  </mergeCells>
  <conditionalFormatting sqref="D93:D107">
    <cfRule type="cellIs" dxfId="6" priority="1" operator="lessThan">
      <formula>-0.1</formula>
    </cfRule>
    <cfRule type="cellIs" dxfId="5" priority="2" operator="greaterThan">
      <formula>0.1</formula>
    </cfRule>
    <cfRule type="cellIs" dxfId="4" priority="3" operator="between">
      <formula>-0.2</formula>
      <formula>0.2</formula>
    </cfRule>
    <cfRule type="cellIs" dxfId="3" priority="4" operator="greaterThan">
      <formula>0.2</formula>
    </cfRule>
    <cfRule type="cellIs" dxfId="2" priority="5" operator="lessThan">
      <formula>-0.2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79"/>
  <sheetViews>
    <sheetView tabSelected="1" topLeftCell="A64" zoomScale="60" zoomScaleNormal="60" workbookViewId="0">
      <selection activeCell="A9" sqref="A9"/>
    </sheetView>
  </sheetViews>
  <sheetFormatPr defaultRowHeight="15"/>
  <cols>
    <col min="1" max="1" width="25.5703125" customWidth="1"/>
    <col min="4" max="4" width="15" customWidth="1"/>
    <col min="5" max="5" width="10.5703125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6.710937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9">
      <c r="A1" s="503" t="s">
        <v>122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9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9" ht="45" customHeight="1">
      <c r="A3" s="5" t="s">
        <v>97</v>
      </c>
      <c r="B3" s="5" t="s">
        <v>96</v>
      </c>
      <c r="C3" s="24" t="s">
        <v>93</v>
      </c>
      <c r="D3" s="24" t="s">
        <v>95</v>
      </c>
      <c r="E3" s="24" t="s">
        <v>93</v>
      </c>
      <c r="F3" s="5" t="s">
        <v>94</v>
      </c>
      <c r="G3" s="24" t="s">
        <v>83</v>
      </c>
      <c r="H3" s="24" t="s">
        <v>84</v>
      </c>
      <c r="I3" s="24" t="s">
        <v>93</v>
      </c>
      <c r="J3" s="5" t="s">
        <v>92</v>
      </c>
      <c r="K3" s="24" t="s">
        <v>83</v>
      </c>
      <c r="L3" s="25" t="s">
        <v>91</v>
      </c>
      <c r="M3" s="24" t="s">
        <v>83</v>
      </c>
      <c r="N3" s="24" t="s">
        <v>90</v>
      </c>
      <c r="O3" s="24" t="s">
        <v>83</v>
      </c>
      <c r="P3" s="24" t="s">
        <v>84</v>
      </c>
      <c r="Q3" s="24" t="s">
        <v>83</v>
      </c>
      <c r="R3" s="24" t="s">
        <v>89</v>
      </c>
      <c r="S3" s="24" t="s">
        <v>83</v>
      </c>
      <c r="T3" s="24" t="s">
        <v>84</v>
      </c>
      <c r="U3" s="24" t="s">
        <v>83</v>
      </c>
      <c r="V3" s="24" t="s">
        <v>88</v>
      </c>
      <c r="W3" s="24" t="s">
        <v>83</v>
      </c>
      <c r="X3" s="24" t="s">
        <v>84</v>
      </c>
      <c r="Y3" s="24" t="s">
        <v>83</v>
      </c>
      <c r="Z3" s="24" t="s">
        <v>87</v>
      </c>
      <c r="AA3" s="24" t="s">
        <v>83</v>
      </c>
      <c r="AB3" s="24" t="s">
        <v>84</v>
      </c>
      <c r="AC3" s="24" t="s">
        <v>83</v>
      </c>
      <c r="AD3" s="24" t="s">
        <v>86</v>
      </c>
      <c r="AE3" s="24" t="s">
        <v>83</v>
      </c>
      <c r="AF3" s="24" t="s">
        <v>84</v>
      </c>
      <c r="AG3" s="24" t="s">
        <v>83</v>
      </c>
      <c r="AH3" s="24" t="s">
        <v>85</v>
      </c>
      <c r="AI3" s="24" t="s">
        <v>83</v>
      </c>
      <c r="AJ3" s="24" t="s">
        <v>84</v>
      </c>
      <c r="AK3" s="24" t="s">
        <v>83</v>
      </c>
      <c r="AL3" s="24" t="s">
        <v>82</v>
      </c>
      <c r="AM3" s="24" t="s">
        <v>81</v>
      </c>
    </row>
    <row r="4" spans="1:39">
      <c r="A4" s="23" t="s">
        <v>80</v>
      </c>
      <c r="B4" s="14">
        <v>7</v>
      </c>
      <c r="C4" s="14" t="str">
        <f t="shared" ref="C4:C13" si="0">IF(B4&gt;20.2,"13,5",IF(B4&lt;=-4,"3,375",IF(AND(B4&gt;-4,B4&lt;=3),"6,75","10,125")))</f>
        <v>10,125</v>
      </c>
      <c r="D4" s="3">
        <v>0</v>
      </c>
      <c r="E4" s="3" t="str">
        <f t="shared" ref="E4:E13" si="1">IF(D4=0,"0","1,5")</f>
        <v>0</v>
      </c>
      <c r="F4" s="14">
        <v>7.5</v>
      </c>
      <c r="G4" s="14" t="str">
        <f t="shared" ref="G4:G13" si="2">IF(F4&gt;59.4,"13,5",IF(F4&lt;=0,"3,375",IF(AND(F4&gt;0,F4&lt;=13.3),"6,75","10,125")))</f>
        <v>6,75</v>
      </c>
      <c r="H4" s="3">
        <v>0</v>
      </c>
      <c r="I4" s="3" t="str">
        <f t="shared" ref="I4:I13" si="3">IF(H4=0,"0","1,5")</f>
        <v>0</v>
      </c>
      <c r="J4" s="12">
        <v>-2.2100000000000002E-2</v>
      </c>
      <c r="K4" s="20">
        <f t="shared" ref="K4:K13" si="4">IF(J4&gt;QUARTILE($J$4:$J$13,3),$B$35,IF(AND(J4&lt;=QUARTILE($J$4:$J$13,3),J4&gt;QUARTILE($J$4:$J$13,2)),$B$34,IF(AND(J4&lt;=QUARTILE($J$4:$J$13,2),J4&gt;QUARTILE($J$4:$J$13,1)),$B$33,$B$32)))</f>
        <v>1.25</v>
      </c>
      <c r="L4" s="12">
        <v>-0.23549999999999999</v>
      </c>
      <c r="M4" s="20">
        <f t="shared" ref="M4:M13" si="5">IF(L4&gt;QUARTILE($L$4:$L$13,3),$B$41,IF(AND(L4&lt;=QUARTILE($L$4:$L$13,3),L4&gt;QUARTILE($L$4:$L$13,2)),$B$40,IF(AND(L4&lt;=QUARTILE($L$4:$L$14,2),L4&gt;QUARTILE($L$4:$L$13,1)),$B$39,$B$38)))</f>
        <v>1.25</v>
      </c>
      <c r="N4" s="14">
        <v>-130.21</v>
      </c>
      <c r="O4" s="14">
        <f t="shared" ref="O4:O13" si="6">IF(N4&gt;QUARTILE($N$4:$N$13,3),$B$47,IF(AND(N4&lt;=QUARTILE($N$4:$N$13,3),N4&gt;QUARTILE($N$4:$N$13,2)),$B$46,IF(AND(N4&lt;=QUARTILE($N$4:$N$13,2),N4&gt;QUARTILE($N$4:$N$13,1)),$B$45,$B$44)))</f>
        <v>4.5</v>
      </c>
      <c r="P4" s="14">
        <v>0</v>
      </c>
      <c r="Q4" s="14" t="str">
        <f t="shared" ref="Q4:Q13" si="7">IF(P4=0,"0","0,5")</f>
        <v>0</v>
      </c>
      <c r="R4" s="12">
        <v>0.73960000000000004</v>
      </c>
      <c r="S4" s="12" t="str">
        <f t="shared" ref="S4:S13" si="8">IF(R4&gt;26.78%,"9",IF(R4&lt;=-0.44%,"2,25",IF(AND(R4&gt;-0.44%,R4&lt;=9.53%),"4,5","6,75")))</f>
        <v>9</v>
      </c>
      <c r="T4" s="22">
        <v>0</v>
      </c>
      <c r="U4" s="12" t="str">
        <f t="shared" ref="U4:U13" si="9">IF(T4=0,"0","1")</f>
        <v>0</v>
      </c>
      <c r="V4" s="12">
        <v>-0.77610000000000001</v>
      </c>
      <c r="W4" s="12" t="str">
        <f t="shared" ref="W4:W13" si="10">IF(V4&gt;20.2725%,"13,5",IF(V4&lt;=-4.11%,"3,375",IF(AND(V4&gt;-4.11%,V4&lt;=5.27%),"6,75","10,125")))</f>
        <v>3,375</v>
      </c>
      <c r="X4" s="22">
        <v>0</v>
      </c>
      <c r="Y4" s="12" t="str">
        <f t="shared" ref="Y4:Y13" si="11">IF(X4=0,"0","1,5")</f>
        <v>0</v>
      </c>
      <c r="Z4" s="12">
        <v>0.66049999999999998</v>
      </c>
      <c r="AA4" s="12" t="str">
        <f t="shared" ref="AA4:AA13" si="12">IF(Z4&gt;14.8%,"13,5",IF(Z4&lt;=-8.71%,"3,375",IF(AND(Z4&gt;-8.71%,Z4&lt;=2.62%),"6,75","10,125")))</f>
        <v>13,5</v>
      </c>
      <c r="AB4" s="22">
        <v>0</v>
      </c>
      <c r="AC4" s="12" t="str">
        <f t="shared" ref="AC4:AC13" si="13">IF(AB4=0,"0","1,5")</f>
        <v>0</v>
      </c>
      <c r="AD4" s="13">
        <v>0.56303000000000003</v>
      </c>
      <c r="AE4" s="20">
        <f t="shared" ref="AE4:AE13" si="14">IF(AD4&gt;QUARTILE($AD$4:$AD$13,3),$B$71,IF(AND(AD4&lt;=QUARTILE($AD$4:$AD$13,3),AD4&gt;QUARTILE($AD$4:$AD$13,2)),$B$70,IF(AND(AD4&lt;=QUARTILE($AD$4:$AD$13,2),AD4&gt;QUARTILE($AD$4:$AD$13,1)),$B$69,$B$68)))</f>
        <v>1.125</v>
      </c>
      <c r="AF4" s="22">
        <v>0</v>
      </c>
      <c r="AG4" s="13" t="str">
        <f t="shared" ref="AG4:AG13" si="15">IF(AF4=0,"0","0,5")</f>
        <v>0</v>
      </c>
      <c r="AH4" s="12">
        <v>8.1500000000000003E-2</v>
      </c>
      <c r="AI4" s="20">
        <f>IF(AH4&gt;QUARTILE($AH$4:$AH$13,3),$B$77,IF(AND(AH4&lt;=QUARTILE($AH$4:$AH$13,3),AH4&gt;QUARTILE($AH$4:$AH$13,2)),$B$76,IF(AND(AH4&lt;=QUARTILE(AH4:$AH$13,2),AH4&gt;QUARTILE($AH$4:$AH$13,1)),$B$75,$B$74)))</f>
        <v>2.25</v>
      </c>
      <c r="AJ4" s="3">
        <v>0</v>
      </c>
      <c r="AK4" s="3" t="str">
        <f t="shared" ref="AK4:AK13" si="16">IF(AJ4=0,"0","1")</f>
        <v>0</v>
      </c>
      <c r="AL4" s="10">
        <f t="shared" ref="AL4:AL13" si="17">C4+E4+G4+I4+K4+M4+O4+Q4+S4+U4+W4+Y4+AA4+AC4+AE4+AG4+AI4+AK4</f>
        <v>53.125</v>
      </c>
      <c r="AM4" s="5" t="s">
        <v>67</v>
      </c>
    </row>
    <row r="5" spans="1:39">
      <c r="A5" s="23" t="s">
        <v>78</v>
      </c>
      <c r="B5" s="14">
        <v>68.5</v>
      </c>
      <c r="C5" s="14" t="str">
        <f t="shared" si="0"/>
        <v>13,5</v>
      </c>
      <c r="D5" s="3">
        <v>1</v>
      </c>
      <c r="E5" s="3" t="str">
        <f t="shared" si="1"/>
        <v>1,5</v>
      </c>
      <c r="F5" s="14">
        <v>129.1</v>
      </c>
      <c r="G5" s="14" t="str">
        <f t="shared" si="2"/>
        <v>13,5</v>
      </c>
      <c r="H5" s="3">
        <v>1</v>
      </c>
      <c r="I5" s="3" t="str">
        <f t="shared" si="3"/>
        <v>1,5</v>
      </c>
      <c r="J5" s="12">
        <v>0.1232</v>
      </c>
      <c r="K5" s="20">
        <f t="shared" si="4"/>
        <v>3.75</v>
      </c>
      <c r="L5" s="12">
        <v>1.2525999999999999</v>
      </c>
      <c r="M5" s="20">
        <f t="shared" si="5"/>
        <v>5</v>
      </c>
      <c r="N5" s="14">
        <v>-0.41</v>
      </c>
      <c r="O5" s="14">
        <f t="shared" si="6"/>
        <v>2.25</v>
      </c>
      <c r="P5" s="14">
        <v>0</v>
      </c>
      <c r="Q5" s="14" t="str">
        <f t="shared" si="7"/>
        <v>0</v>
      </c>
      <c r="R5" s="12">
        <v>0.26590000000000003</v>
      </c>
      <c r="S5" s="12" t="str">
        <f t="shared" si="8"/>
        <v>6,75</v>
      </c>
      <c r="T5" s="22">
        <v>1</v>
      </c>
      <c r="U5" s="12" t="str">
        <f t="shared" si="9"/>
        <v>1</v>
      </c>
      <c r="V5" s="12">
        <v>0.25700000000000001</v>
      </c>
      <c r="W5" s="12" t="str">
        <f t="shared" si="10"/>
        <v>13,5</v>
      </c>
      <c r="X5" s="22">
        <v>1</v>
      </c>
      <c r="Y5" s="12" t="str">
        <f t="shared" si="11"/>
        <v>1,5</v>
      </c>
      <c r="Z5" s="12">
        <v>0.20499999999999999</v>
      </c>
      <c r="AA5" s="12" t="str">
        <f t="shared" si="12"/>
        <v>13,5</v>
      </c>
      <c r="AB5" s="22">
        <v>1</v>
      </c>
      <c r="AC5" s="12" t="str">
        <f t="shared" si="13"/>
        <v>1,5</v>
      </c>
      <c r="AD5" s="13">
        <v>1.3459559999999999</v>
      </c>
      <c r="AE5" s="20">
        <f t="shared" si="14"/>
        <v>3.375</v>
      </c>
      <c r="AF5" s="22">
        <v>1</v>
      </c>
      <c r="AG5" s="13" t="str">
        <f t="shared" si="15"/>
        <v>0,5</v>
      </c>
      <c r="AH5" s="12">
        <v>0.95899999999999996</v>
      </c>
      <c r="AI5" s="20">
        <f>IF(AH5&gt;QUARTILE($AH$4:$AH$13,3),$B$77,IF(AND(AH5&lt;=QUARTILE($AH$4:$AH$13,3),AH5&gt;QUARTILE($AH$4:$AH$13,2)),$B$76,IF(AND(AH5&lt;=QUARTILE(AH5:$AH$13,2),AH5&gt;QUARTILE($AH$4:$AH$13,1)),$B$75,$B$74)))</f>
        <v>6.75</v>
      </c>
      <c r="AJ5" s="3">
        <v>1</v>
      </c>
      <c r="AK5" s="3" t="str">
        <f t="shared" si="16"/>
        <v>1</v>
      </c>
      <c r="AL5" s="10">
        <f t="shared" si="17"/>
        <v>90.375</v>
      </c>
      <c r="AM5" s="5" t="s">
        <v>75</v>
      </c>
    </row>
    <row r="6" spans="1:39">
      <c r="A6" s="23" t="s">
        <v>76</v>
      </c>
      <c r="B6" s="14">
        <v>96.1</v>
      </c>
      <c r="C6" s="14" t="str">
        <f t="shared" si="0"/>
        <v>13,5</v>
      </c>
      <c r="D6" s="3">
        <v>1</v>
      </c>
      <c r="E6" s="3" t="str">
        <f t="shared" si="1"/>
        <v>1,5</v>
      </c>
      <c r="F6" s="14">
        <v>120.4</v>
      </c>
      <c r="G6" s="14" t="str">
        <f t="shared" si="2"/>
        <v>13,5</v>
      </c>
      <c r="H6" s="3">
        <v>1</v>
      </c>
      <c r="I6" s="3" t="str">
        <f t="shared" si="3"/>
        <v>1,5</v>
      </c>
      <c r="J6" s="12">
        <v>4.3400000000000001E-2</v>
      </c>
      <c r="K6" s="20">
        <f t="shared" si="4"/>
        <v>2.5</v>
      </c>
      <c r="L6" s="12">
        <v>4.7100000000000003E-2</v>
      </c>
      <c r="M6" s="20">
        <f t="shared" si="5"/>
        <v>2.5</v>
      </c>
      <c r="N6" s="14">
        <v>19.77</v>
      </c>
      <c r="O6" s="14">
        <f t="shared" si="6"/>
        <v>1.125</v>
      </c>
      <c r="P6" s="14">
        <v>0</v>
      </c>
      <c r="Q6" s="14" t="str">
        <f t="shared" si="7"/>
        <v>0</v>
      </c>
      <c r="R6" s="12">
        <v>0.44850000000000001</v>
      </c>
      <c r="S6" s="12" t="str">
        <f t="shared" si="8"/>
        <v>9</v>
      </c>
      <c r="T6" s="22">
        <v>0</v>
      </c>
      <c r="U6" s="12" t="str">
        <f t="shared" si="9"/>
        <v>0</v>
      </c>
      <c r="V6" s="12">
        <v>0.43959999999999999</v>
      </c>
      <c r="W6" s="12" t="str">
        <f t="shared" si="10"/>
        <v>13,5</v>
      </c>
      <c r="X6" s="22">
        <v>0</v>
      </c>
      <c r="Y6" s="12" t="str">
        <f t="shared" si="11"/>
        <v>0</v>
      </c>
      <c r="Z6" s="12">
        <v>0.35099999999999998</v>
      </c>
      <c r="AA6" s="12" t="str">
        <f t="shared" si="12"/>
        <v>13,5</v>
      </c>
      <c r="AB6" s="22">
        <v>0</v>
      </c>
      <c r="AC6" s="12" t="str">
        <f t="shared" si="13"/>
        <v>0</v>
      </c>
      <c r="AD6" s="13">
        <v>1.7845299999999999</v>
      </c>
      <c r="AE6" s="20">
        <f t="shared" si="14"/>
        <v>4.5</v>
      </c>
      <c r="AF6" s="22">
        <v>0</v>
      </c>
      <c r="AG6" s="13" t="str">
        <f t="shared" si="15"/>
        <v>0</v>
      </c>
      <c r="AH6" s="12">
        <v>1.4194</v>
      </c>
      <c r="AI6" s="20">
        <f>IF(AH6&gt;QUARTILE($AH$4:$AH$13,3),$B$77,IF(AND(AH6&lt;=QUARTILE($AH$4:$AH$13,3),AH6&gt;QUARTILE($AH$4:$AH$13,2)),$B$76,IF(AND(AH6&lt;=QUARTILE(AH6:$AH$13,2),AH6&gt;QUARTILE($AH$4:$AH$13,1)),$B$75,$B$74)))</f>
        <v>9</v>
      </c>
      <c r="AJ6" s="3">
        <v>1</v>
      </c>
      <c r="AK6" s="3" t="str">
        <f t="shared" si="16"/>
        <v>1</v>
      </c>
      <c r="AL6" s="10">
        <f t="shared" si="17"/>
        <v>86.625</v>
      </c>
      <c r="AM6" s="5" t="s">
        <v>63</v>
      </c>
    </row>
    <row r="7" spans="1:39">
      <c r="A7" s="23" t="s">
        <v>74</v>
      </c>
      <c r="B7" s="14">
        <v>60.3</v>
      </c>
      <c r="C7" s="14" t="str">
        <f t="shared" si="0"/>
        <v>13,5</v>
      </c>
      <c r="D7" s="3">
        <v>0</v>
      </c>
      <c r="E7" s="3" t="str">
        <f t="shared" si="1"/>
        <v>0</v>
      </c>
      <c r="F7" s="14">
        <v>79.2</v>
      </c>
      <c r="G7" s="14" t="str">
        <f t="shared" si="2"/>
        <v>13,5</v>
      </c>
      <c r="H7" s="3">
        <v>0</v>
      </c>
      <c r="I7" s="3" t="str">
        <f t="shared" si="3"/>
        <v>0</v>
      </c>
      <c r="J7" s="12">
        <v>-6.3600000000000004E-2</v>
      </c>
      <c r="K7" s="20">
        <f t="shared" si="4"/>
        <v>1.25</v>
      </c>
      <c r="L7" s="12">
        <v>-0.1191</v>
      </c>
      <c r="M7" s="20">
        <f t="shared" si="5"/>
        <v>2.5</v>
      </c>
      <c r="N7" s="14">
        <v>39.65</v>
      </c>
      <c r="O7" s="14">
        <f t="shared" si="6"/>
        <v>1.125</v>
      </c>
      <c r="P7" s="14">
        <v>1</v>
      </c>
      <c r="Q7" s="14" t="str">
        <f t="shared" si="7"/>
        <v>0,5</v>
      </c>
      <c r="R7" s="12">
        <v>0.34860000000000002</v>
      </c>
      <c r="S7" s="12" t="str">
        <f t="shared" si="8"/>
        <v>9</v>
      </c>
      <c r="T7" s="22">
        <v>0</v>
      </c>
      <c r="U7" s="12" t="str">
        <f t="shared" si="9"/>
        <v>0</v>
      </c>
      <c r="V7" s="12">
        <v>0.3538</v>
      </c>
      <c r="W7" s="12" t="str">
        <f t="shared" si="10"/>
        <v>13,5</v>
      </c>
      <c r="X7" s="22">
        <v>1</v>
      </c>
      <c r="Y7" s="12" t="str">
        <f t="shared" si="11"/>
        <v>1,5</v>
      </c>
      <c r="Z7" s="12">
        <v>0.27439999999999998</v>
      </c>
      <c r="AA7" s="12" t="str">
        <f t="shared" si="12"/>
        <v>13,5</v>
      </c>
      <c r="AB7" s="22">
        <v>0</v>
      </c>
      <c r="AC7" s="12" t="str">
        <f t="shared" si="13"/>
        <v>0</v>
      </c>
      <c r="AD7" s="13">
        <v>1.5163199999999999</v>
      </c>
      <c r="AE7" s="20">
        <f t="shared" si="14"/>
        <v>4.5</v>
      </c>
      <c r="AF7" s="22">
        <v>1</v>
      </c>
      <c r="AG7" s="13" t="str">
        <f t="shared" si="15"/>
        <v>0,5</v>
      </c>
      <c r="AH7" s="12">
        <v>0.91990000000000005</v>
      </c>
      <c r="AI7" s="20">
        <f>IF(AH7&gt;QUARTILE($AH$4:$AH$13,3),$B$77,IF(AND(AH7&lt;=QUARTILE($AH$4:$AH$13,3),AH7&gt;QUARTILE($AH$4:$AH$13,2)),$B$76,IF(AND(AH7&lt;=QUARTILE(AH7:$AH$13,2),AH7&gt;QUARTILE($AH$4:$AH$13,1)),$B$75,$B$74)))</f>
        <v>4.5</v>
      </c>
      <c r="AJ7" s="3">
        <v>1</v>
      </c>
      <c r="AK7" s="3" t="str">
        <f t="shared" si="16"/>
        <v>1</v>
      </c>
      <c r="AL7" s="10">
        <f t="shared" si="17"/>
        <v>80.375</v>
      </c>
      <c r="AM7" s="5" t="s">
        <v>65</v>
      </c>
    </row>
    <row r="8" spans="1:39">
      <c r="A8" s="23" t="s">
        <v>72</v>
      </c>
      <c r="B8" s="14">
        <v>3.1</v>
      </c>
      <c r="C8" s="14" t="str">
        <f t="shared" si="0"/>
        <v>10,125</v>
      </c>
      <c r="D8" s="3">
        <v>0</v>
      </c>
      <c r="E8" s="3" t="str">
        <f t="shared" si="1"/>
        <v>0</v>
      </c>
      <c r="F8" s="14">
        <v>5.2</v>
      </c>
      <c r="G8" s="14" t="str">
        <f t="shared" si="2"/>
        <v>6,75</v>
      </c>
      <c r="H8" s="3">
        <v>0</v>
      </c>
      <c r="I8" s="3" t="str">
        <f t="shared" si="3"/>
        <v>0</v>
      </c>
      <c r="J8" s="12">
        <v>7.6300000000000007E-2</v>
      </c>
      <c r="K8" s="20">
        <f t="shared" si="4"/>
        <v>3.75</v>
      </c>
      <c r="L8" s="12">
        <v>-0.65490000000000004</v>
      </c>
      <c r="M8" s="20">
        <f t="shared" si="5"/>
        <v>1.25</v>
      </c>
      <c r="N8" s="14">
        <v>-12.42</v>
      </c>
      <c r="O8" s="14">
        <f t="shared" si="6"/>
        <v>3.375</v>
      </c>
      <c r="P8" s="14">
        <v>1</v>
      </c>
      <c r="Q8" s="14" t="str">
        <f t="shared" si="7"/>
        <v>0,5</v>
      </c>
      <c r="R8" s="12">
        <v>3.6900000000000002E-2</v>
      </c>
      <c r="S8" s="12" t="str">
        <f t="shared" si="8"/>
        <v>4,5</v>
      </c>
      <c r="T8" s="22">
        <v>0</v>
      </c>
      <c r="U8" s="12" t="str">
        <f t="shared" si="9"/>
        <v>0</v>
      </c>
      <c r="V8" s="12">
        <v>2.3699999999999999E-2</v>
      </c>
      <c r="W8" s="12" t="str">
        <f t="shared" si="10"/>
        <v>6,75</v>
      </c>
      <c r="X8" s="22">
        <v>0</v>
      </c>
      <c r="Y8" s="12" t="str">
        <f t="shared" si="11"/>
        <v>0</v>
      </c>
      <c r="Z8" s="12">
        <v>9.7000000000000003E-3</v>
      </c>
      <c r="AA8" s="12" t="str">
        <f t="shared" si="12"/>
        <v>6,75</v>
      </c>
      <c r="AB8" s="22">
        <v>0</v>
      </c>
      <c r="AC8" s="12" t="str">
        <f t="shared" si="13"/>
        <v>0</v>
      </c>
      <c r="AD8" s="13">
        <v>1.024224</v>
      </c>
      <c r="AE8" s="20">
        <f t="shared" si="14"/>
        <v>1.125</v>
      </c>
      <c r="AF8" s="22">
        <v>0</v>
      </c>
      <c r="AG8" s="13" t="str">
        <f t="shared" si="15"/>
        <v>0</v>
      </c>
      <c r="AH8" s="12">
        <v>4.4900000000000002E-2</v>
      </c>
      <c r="AI8" s="20">
        <f>IF(AH8&gt;QUARTILE($AH$4:$AH$13,3),$B$77,IF(AND(AH8&lt;=QUARTILE($AH$4:$AH$13,3),AH8&gt;QUARTILE($AH$4:$AH$13,2)),$B$76,IF(AND(AH8&lt;=QUARTILE(AH8:$AH$13,2),AH8&gt;QUARTILE($AH$4:$AH$13,1)),$B$75,$B$74)))</f>
        <v>2.25</v>
      </c>
      <c r="AJ8" s="3">
        <v>0</v>
      </c>
      <c r="AK8" s="3" t="str">
        <f t="shared" si="16"/>
        <v>0</v>
      </c>
      <c r="AL8" s="10">
        <f t="shared" si="17"/>
        <v>47.125</v>
      </c>
      <c r="AM8" s="5" t="s">
        <v>79</v>
      </c>
    </row>
    <row r="9" spans="1:39">
      <c r="A9" s="23" t="s">
        <v>70</v>
      </c>
      <c r="B9" s="14">
        <v>93.5</v>
      </c>
      <c r="C9" s="14" t="str">
        <f t="shared" si="0"/>
        <v>13,5</v>
      </c>
      <c r="D9" s="3">
        <v>1</v>
      </c>
      <c r="E9" s="3" t="str">
        <f t="shared" si="1"/>
        <v>1,5</v>
      </c>
      <c r="F9" s="14">
        <v>105.4</v>
      </c>
      <c r="G9" s="14" t="str">
        <f t="shared" si="2"/>
        <v>13,5</v>
      </c>
      <c r="H9" s="3">
        <v>1</v>
      </c>
      <c r="I9" s="3" t="str">
        <f t="shared" si="3"/>
        <v>1,5</v>
      </c>
      <c r="J9" s="12">
        <v>0.38030000000000003</v>
      </c>
      <c r="K9" s="20">
        <f t="shared" si="4"/>
        <v>5</v>
      </c>
      <c r="L9" s="12">
        <v>0.2218</v>
      </c>
      <c r="M9" s="20">
        <f t="shared" si="5"/>
        <v>3.75</v>
      </c>
      <c r="N9" s="14">
        <v>-12.71</v>
      </c>
      <c r="O9" s="14">
        <f t="shared" si="6"/>
        <v>3.375</v>
      </c>
      <c r="P9" s="14">
        <v>1</v>
      </c>
      <c r="Q9" s="14" t="str">
        <f t="shared" si="7"/>
        <v>0,5</v>
      </c>
      <c r="R9" s="12">
        <v>0.72109999999999996</v>
      </c>
      <c r="S9" s="12" t="str">
        <f t="shared" si="8"/>
        <v>9</v>
      </c>
      <c r="T9" s="22">
        <v>0</v>
      </c>
      <c r="U9" s="12" t="str">
        <f t="shared" si="9"/>
        <v>0</v>
      </c>
      <c r="V9" s="12">
        <v>0.70830000000000004</v>
      </c>
      <c r="W9" s="12" t="str">
        <f t="shared" si="10"/>
        <v>13,5</v>
      </c>
      <c r="X9" s="22">
        <v>0</v>
      </c>
      <c r="Y9" s="12" t="str">
        <f t="shared" si="11"/>
        <v>0</v>
      </c>
      <c r="Z9" s="12">
        <v>0.56889999999999996</v>
      </c>
      <c r="AA9" s="12" t="str">
        <f t="shared" si="12"/>
        <v>13,5</v>
      </c>
      <c r="AB9" s="22">
        <v>0</v>
      </c>
      <c r="AC9" s="12" t="str">
        <f t="shared" si="13"/>
        <v>0</v>
      </c>
      <c r="AD9" s="13">
        <v>3.4282119999999998</v>
      </c>
      <c r="AE9" s="20">
        <f t="shared" si="14"/>
        <v>4.5</v>
      </c>
      <c r="AF9" s="22">
        <v>0</v>
      </c>
      <c r="AG9" s="13" t="str">
        <f t="shared" si="15"/>
        <v>0</v>
      </c>
      <c r="AH9" s="12">
        <v>0.95089999999999997</v>
      </c>
      <c r="AI9" s="20">
        <f>IF(AH9&gt;QUARTILE($AH$4:$AH$13,3),$B$77,IF(AND(AH9&lt;=QUARTILE($AH$4:$AH$13,3),AH9&gt;QUARTILE($AH$4:$AH$13,2)),$B$76,IF(AND(AH9&lt;=QUARTILE(AH9:$AH$13,2),AH9&gt;QUARTILE($AH$4:$AH$13,1)),$B$75,$B$74)))</f>
        <v>6.75</v>
      </c>
      <c r="AJ9" s="3">
        <v>0</v>
      </c>
      <c r="AK9" s="3" t="str">
        <f t="shared" si="16"/>
        <v>0</v>
      </c>
      <c r="AL9" s="10">
        <f t="shared" si="17"/>
        <v>89.875</v>
      </c>
      <c r="AM9" s="5" t="s">
        <v>69</v>
      </c>
    </row>
    <row r="10" spans="1:39">
      <c r="A10" s="23" t="s">
        <v>68</v>
      </c>
      <c r="B10" s="14">
        <v>51.8</v>
      </c>
      <c r="C10" s="14" t="str">
        <f t="shared" si="0"/>
        <v>13,5</v>
      </c>
      <c r="D10" s="3">
        <v>1</v>
      </c>
      <c r="E10" s="3" t="str">
        <f t="shared" si="1"/>
        <v>1,5</v>
      </c>
      <c r="F10" s="14">
        <v>103.3</v>
      </c>
      <c r="G10" s="14" t="str">
        <f t="shared" si="2"/>
        <v>13,5</v>
      </c>
      <c r="H10" s="3">
        <v>0</v>
      </c>
      <c r="I10" s="3" t="str">
        <f t="shared" si="3"/>
        <v>0</v>
      </c>
      <c r="J10" s="12">
        <v>0.19289999999999999</v>
      </c>
      <c r="K10" s="20">
        <f t="shared" si="4"/>
        <v>5</v>
      </c>
      <c r="L10" s="12">
        <v>0.18790000000000001</v>
      </c>
      <c r="M10" s="20">
        <f t="shared" si="5"/>
        <v>3.75</v>
      </c>
      <c r="N10" s="14">
        <v>-21.17</v>
      </c>
      <c r="O10" s="14">
        <f t="shared" si="6"/>
        <v>4.5</v>
      </c>
      <c r="P10" s="14">
        <v>0</v>
      </c>
      <c r="Q10" s="14" t="str">
        <f t="shared" si="7"/>
        <v>0</v>
      </c>
      <c r="R10" s="12">
        <v>0.34570000000000001</v>
      </c>
      <c r="S10" s="12" t="str">
        <f t="shared" si="8"/>
        <v>9</v>
      </c>
      <c r="T10" s="22">
        <v>0</v>
      </c>
      <c r="U10" s="12" t="str">
        <f t="shared" si="9"/>
        <v>0</v>
      </c>
      <c r="V10" s="12">
        <v>0.33090000000000003</v>
      </c>
      <c r="W10" s="12" t="str">
        <f t="shared" si="10"/>
        <v>13,5</v>
      </c>
      <c r="X10" s="22">
        <v>0</v>
      </c>
      <c r="Y10" s="12" t="str">
        <f t="shared" si="11"/>
        <v>0</v>
      </c>
      <c r="Z10" s="12">
        <v>0.26450000000000001</v>
      </c>
      <c r="AA10" s="12" t="str">
        <f t="shared" si="12"/>
        <v>13,5</v>
      </c>
      <c r="AB10" s="22">
        <v>1</v>
      </c>
      <c r="AC10" s="12" t="str">
        <f t="shared" si="13"/>
        <v>1,5</v>
      </c>
      <c r="AD10" s="13">
        <v>1.4945999999999999</v>
      </c>
      <c r="AE10" s="20">
        <f t="shared" si="14"/>
        <v>3.375</v>
      </c>
      <c r="AF10" s="22">
        <v>0</v>
      </c>
      <c r="AG10" s="13" t="str">
        <f t="shared" si="15"/>
        <v>0</v>
      </c>
      <c r="AH10" s="12">
        <v>0.97640000000000005</v>
      </c>
      <c r="AI10" s="20">
        <f>IF(AH10&gt;QUARTILE($AH$4:$AH$13,3),$B$77,IF(AND(AH10&lt;=QUARTILE($AH$4:$AH$13,3),AH10&gt;QUARTILE($AH$4:$AH$13,2)),$B$76,IF(AND(AH10&lt;=QUARTILE(AH10:$AH$13,2),AH10&gt;QUARTILE($AH$4:$AH$13,1)),$B$75,$B$74)))</f>
        <v>9</v>
      </c>
      <c r="AJ10" s="3">
        <v>1</v>
      </c>
      <c r="AK10" s="3" t="str">
        <f t="shared" si="16"/>
        <v>1</v>
      </c>
      <c r="AL10" s="10">
        <f t="shared" si="17"/>
        <v>92.625</v>
      </c>
      <c r="AM10" s="5" t="s">
        <v>77</v>
      </c>
    </row>
    <row r="11" spans="1:39">
      <c r="A11" s="23" t="s">
        <v>66</v>
      </c>
      <c r="B11" s="14">
        <v>11.3</v>
      </c>
      <c r="C11" s="14" t="str">
        <f t="shared" si="0"/>
        <v>10,125</v>
      </c>
      <c r="D11" s="3">
        <v>1</v>
      </c>
      <c r="E11" s="3" t="str">
        <f t="shared" si="1"/>
        <v>1,5</v>
      </c>
      <c r="F11" s="14">
        <v>118</v>
      </c>
      <c r="G11" s="14" t="str">
        <f t="shared" si="2"/>
        <v>13,5</v>
      </c>
      <c r="H11" s="3">
        <v>1</v>
      </c>
      <c r="I11" s="3" t="str">
        <f t="shared" si="3"/>
        <v>1,5</v>
      </c>
      <c r="J11" s="12">
        <v>-0.1087</v>
      </c>
      <c r="K11" s="20">
        <f t="shared" si="4"/>
        <v>1.25</v>
      </c>
      <c r="L11" s="12">
        <v>0.57579999999999998</v>
      </c>
      <c r="M11" s="20">
        <f t="shared" si="5"/>
        <v>5</v>
      </c>
      <c r="N11" s="14">
        <v>-1.1399999999999999</v>
      </c>
      <c r="O11" s="14">
        <f t="shared" si="6"/>
        <v>2.25</v>
      </c>
      <c r="P11" s="14">
        <v>0</v>
      </c>
      <c r="Q11" s="14" t="str">
        <f t="shared" si="7"/>
        <v>0</v>
      </c>
      <c r="R11" s="12">
        <v>8.8499999999999995E-2</v>
      </c>
      <c r="S11" s="12" t="str">
        <f t="shared" si="8"/>
        <v>4,5</v>
      </c>
      <c r="T11" s="22">
        <v>1</v>
      </c>
      <c r="U11" s="12" t="str">
        <f t="shared" si="9"/>
        <v>1</v>
      </c>
      <c r="V11" s="12">
        <v>5.7700000000000001E-2</v>
      </c>
      <c r="W11" s="12" t="str">
        <f t="shared" si="10"/>
        <v>10,125</v>
      </c>
      <c r="X11" s="22">
        <v>1</v>
      </c>
      <c r="Y11" s="12" t="str">
        <f t="shared" si="11"/>
        <v>1,5</v>
      </c>
      <c r="Z11" s="12">
        <v>5.8299999999999998E-2</v>
      </c>
      <c r="AA11" s="12" t="str">
        <f t="shared" si="12"/>
        <v>10,125</v>
      </c>
      <c r="AB11" s="22">
        <v>1</v>
      </c>
      <c r="AC11" s="12" t="str">
        <f t="shared" si="13"/>
        <v>1,5</v>
      </c>
      <c r="AD11" s="13">
        <v>1.0611999999999999</v>
      </c>
      <c r="AE11" s="20">
        <f t="shared" si="14"/>
        <v>2.25</v>
      </c>
      <c r="AF11" s="22">
        <v>1</v>
      </c>
      <c r="AG11" s="13" t="str">
        <f t="shared" si="15"/>
        <v>0,5</v>
      </c>
      <c r="AH11" s="12">
        <v>1.3315999999999999</v>
      </c>
      <c r="AI11" s="20">
        <f>IF(AH11&gt;QUARTILE($AH$4:$AH$13,3),$B$77,IF(AND(AH11&lt;=QUARTILE($AH$4:$AH$13,3),AH11&gt;QUARTILE($AH$4:$AH$13,2)),$B$76,IF(AND(AH11&lt;=QUARTILE(AH11:$AH$13,2),AH11&gt;QUARTILE($AH$4:$AH$13,1)),$B$75,$B$74)))</f>
        <v>9</v>
      </c>
      <c r="AJ11" s="3">
        <v>0</v>
      </c>
      <c r="AK11" s="3" t="str">
        <f t="shared" si="16"/>
        <v>0</v>
      </c>
      <c r="AL11" s="10">
        <f t="shared" si="17"/>
        <v>75.625</v>
      </c>
      <c r="AM11" s="5" t="s">
        <v>71</v>
      </c>
    </row>
    <row r="12" spans="1:39">
      <c r="A12" s="23" t="s">
        <v>64</v>
      </c>
      <c r="B12" s="14">
        <v>17</v>
      </c>
      <c r="C12" s="14" t="str">
        <f t="shared" si="0"/>
        <v>10,125</v>
      </c>
      <c r="D12" s="3">
        <v>1</v>
      </c>
      <c r="E12" s="3" t="str">
        <f t="shared" si="1"/>
        <v>1,5</v>
      </c>
      <c r="F12" s="14">
        <v>129.19999999999999</v>
      </c>
      <c r="G12" s="14" t="str">
        <f t="shared" si="2"/>
        <v>13,5</v>
      </c>
      <c r="H12" s="3">
        <v>1</v>
      </c>
      <c r="I12" s="3" t="str">
        <f t="shared" si="3"/>
        <v>1,5</v>
      </c>
      <c r="J12" s="12">
        <v>-5.0000000000000001E-4</v>
      </c>
      <c r="K12" s="20">
        <f t="shared" si="4"/>
        <v>2.5</v>
      </c>
      <c r="L12" s="12">
        <v>2.4047999999999998</v>
      </c>
      <c r="M12" s="20">
        <f t="shared" si="5"/>
        <v>5</v>
      </c>
      <c r="N12" s="14">
        <v>-152.84</v>
      </c>
      <c r="O12" s="14">
        <f t="shared" si="6"/>
        <v>4.5</v>
      </c>
      <c r="P12" s="14">
        <v>0</v>
      </c>
      <c r="Q12" s="14" t="str">
        <f t="shared" si="7"/>
        <v>0</v>
      </c>
      <c r="R12" s="12">
        <v>0.10150000000000001</v>
      </c>
      <c r="S12" s="12" t="str">
        <f t="shared" si="8"/>
        <v>6,75</v>
      </c>
      <c r="T12" s="22">
        <v>1</v>
      </c>
      <c r="U12" s="12" t="str">
        <f t="shared" si="9"/>
        <v>1</v>
      </c>
      <c r="V12" s="12">
        <v>0.1057</v>
      </c>
      <c r="W12" s="12" t="str">
        <f t="shared" si="10"/>
        <v>10,125</v>
      </c>
      <c r="X12" s="22">
        <v>1</v>
      </c>
      <c r="Y12" s="12" t="str">
        <f t="shared" si="11"/>
        <v>1,5</v>
      </c>
      <c r="Z12" s="12">
        <v>9.4799999999999995E-2</v>
      </c>
      <c r="AA12" s="12" t="str">
        <f t="shared" si="12"/>
        <v>10,125</v>
      </c>
      <c r="AB12" s="22">
        <v>1</v>
      </c>
      <c r="AC12" s="12" t="str">
        <f t="shared" si="13"/>
        <v>1,5</v>
      </c>
      <c r="AD12" s="13">
        <v>1.1182000000000001</v>
      </c>
      <c r="AE12" s="20">
        <f t="shared" si="14"/>
        <v>2.25</v>
      </c>
      <c r="AF12" s="22">
        <v>1</v>
      </c>
      <c r="AG12" s="13" t="str">
        <f t="shared" si="15"/>
        <v>0,5</v>
      </c>
      <c r="AH12" s="12">
        <v>0.89410000000000001</v>
      </c>
      <c r="AI12" s="20" t="str">
        <f>IF(AH12&gt;97.21%,"9",IF(AH12&lt;28.4%,"2,25",IF(AND(AH12&gt;28.4%, AH12&lt;93.54%),"4,5","6,75")))</f>
        <v>4,5</v>
      </c>
      <c r="AJ12" s="3">
        <v>1</v>
      </c>
      <c r="AK12" s="3" t="str">
        <f t="shared" si="16"/>
        <v>1</v>
      </c>
      <c r="AL12" s="10">
        <f t="shared" si="17"/>
        <v>77.875</v>
      </c>
      <c r="AM12" s="5" t="s">
        <v>73</v>
      </c>
    </row>
    <row r="13" spans="1:39">
      <c r="A13" s="23" t="s">
        <v>62</v>
      </c>
      <c r="B13" s="14">
        <v>-0.8</v>
      </c>
      <c r="C13" s="14" t="str">
        <f t="shared" si="0"/>
        <v>6,75</v>
      </c>
      <c r="D13" s="3">
        <v>0</v>
      </c>
      <c r="E13" s="3" t="str">
        <f t="shared" si="1"/>
        <v>0</v>
      </c>
      <c r="F13" s="14">
        <v>-1.1000000000000001</v>
      </c>
      <c r="G13" s="14" t="str">
        <f t="shared" si="2"/>
        <v>3,375</v>
      </c>
      <c r="H13" s="3">
        <v>0</v>
      </c>
      <c r="I13" s="3" t="str">
        <f t="shared" si="3"/>
        <v>0</v>
      </c>
      <c r="J13" s="12">
        <v>0.4199</v>
      </c>
      <c r="K13" s="20">
        <f t="shared" si="4"/>
        <v>5</v>
      </c>
      <c r="L13" s="12">
        <v>-1.6994</v>
      </c>
      <c r="M13" s="20">
        <f t="shared" si="5"/>
        <v>1.25</v>
      </c>
      <c r="N13" s="14">
        <v>183.81</v>
      </c>
      <c r="O13" s="14">
        <f t="shared" si="6"/>
        <v>1.125</v>
      </c>
      <c r="P13" s="14">
        <v>1</v>
      </c>
      <c r="Q13" s="14" t="str">
        <f t="shared" si="7"/>
        <v>0,5</v>
      </c>
      <c r="R13" s="12">
        <v>-5.1000000000000004E-3</v>
      </c>
      <c r="S13" s="12" t="str">
        <f t="shared" si="8"/>
        <v>2,25</v>
      </c>
      <c r="T13" s="22">
        <v>1</v>
      </c>
      <c r="U13" s="12" t="str">
        <f t="shared" si="9"/>
        <v>1</v>
      </c>
      <c r="V13" s="12">
        <v>-5.5999999999999994E-2</v>
      </c>
      <c r="W13" s="12" t="str">
        <f t="shared" si="10"/>
        <v>3,375</v>
      </c>
      <c r="X13" s="22">
        <v>0</v>
      </c>
      <c r="Y13" s="12" t="str">
        <f t="shared" si="11"/>
        <v>0</v>
      </c>
      <c r="Z13" s="12">
        <v>-1.29E-2</v>
      </c>
      <c r="AA13" s="12" t="str">
        <f t="shared" si="12"/>
        <v>6,75</v>
      </c>
      <c r="AB13" s="22">
        <v>0</v>
      </c>
      <c r="AC13" s="12" t="str">
        <f t="shared" si="13"/>
        <v>0</v>
      </c>
      <c r="AD13" s="13">
        <v>0.946959</v>
      </c>
      <c r="AE13" s="20">
        <f t="shared" si="14"/>
        <v>1.125</v>
      </c>
      <c r="AF13" s="22">
        <v>0</v>
      </c>
      <c r="AG13" s="13" t="str">
        <f t="shared" si="15"/>
        <v>0</v>
      </c>
      <c r="AH13" s="12">
        <v>-1.04E-2</v>
      </c>
      <c r="AI13" s="20">
        <f>IF(AH13&gt;QUARTILE($AH$4:$AH$13,3),$B$77,IF(AND(AH13&lt;=QUARTILE($AH$4:$AH$13,3),AH13&gt;QUARTILE($AH$4:$AH$13,2)),$B$76,IF(AND(AH13&lt;=QUARTILE(AH13:$AH$13,2),AH13&gt;QUARTILE($AH$4:$AH$13,1)),$B$75,$B$74)))</f>
        <v>2.25</v>
      </c>
      <c r="AJ13" s="3">
        <v>0</v>
      </c>
      <c r="AK13" s="3" t="str">
        <f t="shared" si="16"/>
        <v>0</v>
      </c>
      <c r="AL13" s="10">
        <f t="shared" si="17"/>
        <v>34.75</v>
      </c>
      <c r="AM13" s="5" t="s">
        <v>61</v>
      </c>
    </row>
    <row r="14" spans="1:39">
      <c r="B14" s="14"/>
      <c r="C14" s="14"/>
    </row>
    <row r="17" spans="1:39" ht="18.75">
      <c r="A17" s="17" t="s">
        <v>60</v>
      </c>
      <c r="B17" s="17" t="s">
        <v>59</v>
      </c>
      <c r="C17" s="17"/>
      <c r="D17" s="17"/>
      <c r="E17" s="17"/>
      <c r="F17" s="17" t="s">
        <v>58</v>
      </c>
      <c r="G17" s="17"/>
      <c r="H17" s="16"/>
      <c r="I17" s="16"/>
      <c r="J17" s="16"/>
      <c r="K17" s="16"/>
      <c r="L17" s="16" t="s">
        <v>57</v>
      </c>
      <c r="M17" s="16"/>
    </row>
    <row r="18" spans="1:39" ht="17.25">
      <c r="A18" s="11" t="s">
        <v>56</v>
      </c>
      <c r="B18" s="9">
        <v>13.5</v>
      </c>
      <c r="C18" s="9"/>
      <c r="D18" s="10"/>
      <c r="E18" s="10"/>
      <c r="F18" s="9">
        <v>1.5</v>
      </c>
      <c r="G18" s="9"/>
      <c r="H18" s="8"/>
      <c r="I18" s="8"/>
      <c r="J18" s="8"/>
      <c r="K18" s="8"/>
      <c r="L18" s="9">
        <v>15</v>
      </c>
      <c r="M18" s="9"/>
    </row>
    <row r="19" spans="1:39">
      <c r="A19" t="s">
        <v>55</v>
      </c>
      <c r="B19" s="3">
        <v>3.375</v>
      </c>
      <c r="C19" s="3"/>
      <c r="D19" s="3"/>
      <c r="E19" s="3"/>
      <c r="F19" s="3" t="s">
        <v>7</v>
      </c>
      <c r="G19" s="3"/>
      <c r="H19">
        <v>1.5</v>
      </c>
    </row>
    <row r="20" spans="1:39">
      <c r="A20" t="s">
        <v>54</v>
      </c>
      <c r="B20" s="3">
        <v>6.75</v>
      </c>
      <c r="C20" s="3"/>
      <c r="D20" s="3"/>
      <c r="E20" s="3"/>
      <c r="F20" s="3" t="s">
        <v>4</v>
      </c>
      <c r="G20" s="3"/>
      <c r="H20">
        <v>0</v>
      </c>
    </row>
    <row r="21" spans="1:39">
      <c r="A21" t="s">
        <v>53</v>
      </c>
      <c r="B21" s="3">
        <v>10.125</v>
      </c>
      <c r="C21" s="3"/>
      <c r="D21" s="3"/>
      <c r="E21" s="3"/>
      <c r="F21" s="3"/>
      <c r="G21" s="3"/>
    </row>
    <row r="22" spans="1:39">
      <c r="A22" t="s">
        <v>52</v>
      </c>
      <c r="B22" s="3">
        <v>13.5</v>
      </c>
      <c r="C22" s="3"/>
      <c r="D22" s="3"/>
      <c r="E22" s="3"/>
      <c r="F22" s="3"/>
      <c r="G22" s="3"/>
      <c r="AG22" s="12">
        <v>-1.04E-2</v>
      </c>
      <c r="AH22" s="19">
        <f>QUARTILE(AG22:AG31,1)</f>
        <v>0.28465000000000001</v>
      </c>
      <c r="AJ22" t="s">
        <v>121</v>
      </c>
      <c r="AL22">
        <v>3</v>
      </c>
      <c r="AM22">
        <v>2.25</v>
      </c>
    </row>
    <row r="23" spans="1:39">
      <c r="B23" s="3"/>
      <c r="C23" s="3"/>
      <c r="D23" s="3"/>
      <c r="E23" s="3"/>
      <c r="F23" s="3"/>
      <c r="G23" s="3"/>
      <c r="AG23" s="12">
        <v>4.4900000000000002E-2</v>
      </c>
      <c r="AH23" s="19">
        <f>QUARTILE(AG22:AG31,2)</f>
        <v>0.93540000000000001</v>
      </c>
      <c r="AJ23" t="s">
        <v>120</v>
      </c>
      <c r="AL23">
        <v>2</v>
      </c>
      <c r="AM23">
        <v>4.5</v>
      </c>
    </row>
    <row r="24" spans="1:39" ht="17.25">
      <c r="A24" s="11" t="s">
        <v>51</v>
      </c>
      <c r="B24" s="9">
        <v>13.5</v>
      </c>
      <c r="C24" s="9"/>
      <c r="D24" s="10"/>
      <c r="E24" s="10"/>
      <c r="F24" s="9">
        <v>1.5</v>
      </c>
      <c r="G24" s="9"/>
      <c r="H24" s="8"/>
      <c r="L24" s="9">
        <v>15</v>
      </c>
      <c r="AG24" s="12">
        <v>8.1500000000000003E-2</v>
      </c>
      <c r="AH24" s="19">
        <f>QUARTILE(AG22:AG31,3)</f>
        <v>0.97205000000000008</v>
      </c>
      <c r="AJ24" t="s">
        <v>119</v>
      </c>
      <c r="AL24">
        <v>2</v>
      </c>
      <c r="AM24">
        <v>6.75</v>
      </c>
    </row>
    <row r="25" spans="1:39">
      <c r="A25" t="s">
        <v>50</v>
      </c>
      <c r="B25" s="3">
        <v>3.375</v>
      </c>
      <c r="C25" s="3"/>
      <c r="D25" s="3"/>
      <c r="E25" s="3"/>
      <c r="F25" s="3" t="s">
        <v>7</v>
      </c>
      <c r="G25" s="3"/>
      <c r="H25">
        <v>1.5</v>
      </c>
      <c r="I25" s="8"/>
      <c r="J25" s="8"/>
      <c r="K25" s="8"/>
      <c r="L25" s="9"/>
      <c r="M25" s="9"/>
      <c r="AG25" s="12">
        <v>0.89410000000000001</v>
      </c>
      <c r="AJ25" t="s">
        <v>99</v>
      </c>
      <c r="AL25">
        <v>3</v>
      </c>
      <c r="AM25">
        <v>9</v>
      </c>
    </row>
    <row r="26" spans="1:39">
      <c r="A26" t="s">
        <v>49</v>
      </c>
      <c r="B26" s="3">
        <v>6.75</v>
      </c>
      <c r="C26" s="3"/>
      <c r="D26" s="3"/>
      <c r="E26" s="3"/>
      <c r="F26" s="3" t="s">
        <v>4</v>
      </c>
      <c r="G26" s="3"/>
      <c r="H26">
        <v>0</v>
      </c>
      <c r="AG26" s="12">
        <v>0.91990000000000005</v>
      </c>
    </row>
    <row r="27" spans="1:39">
      <c r="A27" t="s">
        <v>48</v>
      </c>
      <c r="B27" s="3">
        <v>10.125</v>
      </c>
      <c r="C27" s="3"/>
      <c r="D27" s="3"/>
      <c r="E27" s="3"/>
      <c r="F27" s="3"/>
      <c r="G27" s="3"/>
      <c r="AG27" s="12">
        <v>0.95089999999999997</v>
      </c>
    </row>
    <row r="28" spans="1:39">
      <c r="A28" t="s">
        <v>47</v>
      </c>
      <c r="B28" s="3">
        <v>13.5</v>
      </c>
      <c r="C28" s="3"/>
      <c r="D28" s="3"/>
      <c r="E28" s="3"/>
      <c r="F28" s="3"/>
      <c r="G28" s="3"/>
      <c r="AG28" s="12">
        <v>0.95899999999999996</v>
      </c>
    </row>
    <row r="29" spans="1:39">
      <c r="C29" s="3"/>
      <c r="D29" s="3"/>
      <c r="E29" s="3"/>
      <c r="F29" s="3"/>
      <c r="G29" s="3"/>
      <c r="AG29" s="12">
        <v>0.97640000000000005</v>
      </c>
    </row>
    <row r="30" spans="1:39">
      <c r="B30" s="3"/>
      <c r="C30" s="3"/>
      <c r="D30" s="3"/>
      <c r="E30" s="3"/>
      <c r="F30" s="3"/>
      <c r="G30" s="3"/>
      <c r="AG30" s="12">
        <v>1.3315999999999999</v>
      </c>
    </row>
    <row r="31" spans="1:39" ht="17.25">
      <c r="A31" s="11" t="s">
        <v>46</v>
      </c>
      <c r="B31" s="5">
        <v>5</v>
      </c>
      <c r="C31" s="5"/>
      <c r="D31" s="3" t="s">
        <v>10</v>
      </c>
      <c r="E31" s="3"/>
      <c r="F31" s="3"/>
      <c r="G31" s="3"/>
      <c r="L31" s="2">
        <v>5</v>
      </c>
      <c r="M31" s="2"/>
      <c r="AG31" s="12">
        <v>1.4194</v>
      </c>
    </row>
    <row r="32" spans="1:39">
      <c r="A32" t="s">
        <v>118</v>
      </c>
      <c r="B32" s="3">
        <v>1.25</v>
      </c>
      <c r="C32" s="3"/>
      <c r="D32" s="3" t="s">
        <v>8</v>
      </c>
      <c r="E32" s="4">
        <f>QUARTILE(J4:J13,1)</f>
        <v>-1.67E-2</v>
      </c>
      <c r="F32" s="3"/>
      <c r="G32" s="3"/>
    </row>
    <row r="33" spans="1:13">
      <c r="A33" t="s">
        <v>117</v>
      </c>
      <c r="B33" s="3">
        <v>2.5</v>
      </c>
      <c r="C33" s="3"/>
      <c r="D33" s="3" t="s">
        <v>5</v>
      </c>
      <c r="E33" s="4">
        <f>QUARTILE(J4:J13,2)</f>
        <v>5.985E-2</v>
      </c>
      <c r="F33" s="3"/>
      <c r="G33" s="3"/>
    </row>
    <row r="34" spans="1:13">
      <c r="A34" t="s">
        <v>116</v>
      </c>
      <c r="B34" s="3">
        <v>3.75</v>
      </c>
      <c r="C34" s="3"/>
      <c r="D34" s="3" t="s">
        <v>2</v>
      </c>
      <c r="E34" s="4">
        <f>QUARTILE(J4:J13,3)</f>
        <v>0.17547499999999999</v>
      </c>
      <c r="F34" s="3"/>
      <c r="G34" s="3"/>
    </row>
    <row r="35" spans="1:13">
      <c r="A35" t="s">
        <v>115</v>
      </c>
      <c r="B35" s="3">
        <v>5</v>
      </c>
      <c r="C35" s="3"/>
      <c r="D35" s="3"/>
      <c r="E35" s="4"/>
      <c r="F35" s="3"/>
      <c r="G35" s="3"/>
    </row>
    <row r="36" spans="1:13">
      <c r="B36" s="3"/>
      <c r="C36" s="3"/>
      <c r="D36" s="3"/>
      <c r="E36" s="4"/>
      <c r="F36" s="3"/>
      <c r="G36" s="3"/>
    </row>
    <row r="37" spans="1:13" ht="17.25">
      <c r="A37" s="11" t="s">
        <v>41</v>
      </c>
      <c r="B37" s="5">
        <v>5</v>
      </c>
      <c r="C37" s="5"/>
      <c r="D37" s="3" t="s">
        <v>10</v>
      </c>
      <c r="E37" s="4"/>
      <c r="F37" s="3"/>
      <c r="G37" s="3"/>
      <c r="L37" s="2">
        <v>5</v>
      </c>
      <c r="M37" s="2"/>
    </row>
    <row r="38" spans="1:13">
      <c r="A38" t="s">
        <v>114</v>
      </c>
      <c r="B38" s="3">
        <v>1.25</v>
      </c>
      <c r="C38" s="3"/>
      <c r="D38" s="3" t="s">
        <v>8</v>
      </c>
      <c r="E38" s="4">
        <f>QUARTILE(L4:L13,1)</f>
        <v>-0.2064</v>
      </c>
      <c r="F38" s="3"/>
      <c r="G38" s="3"/>
    </row>
    <row r="39" spans="1:13">
      <c r="A39" t="s">
        <v>113</v>
      </c>
      <c r="B39" s="3">
        <v>2.5</v>
      </c>
      <c r="C39" s="3"/>
      <c r="D39" s="3" t="s">
        <v>5</v>
      </c>
      <c r="E39" s="4">
        <f>QUARTILE(L4:L13,2)</f>
        <v>0.11750000000000001</v>
      </c>
      <c r="F39" s="3"/>
      <c r="G39" s="3"/>
    </row>
    <row r="40" spans="1:13">
      <c r="A40" t="s">
        <v>112</v>
      </c>
      <c r="B40" s="3">
        <v>3.75</v>
      </c>
      <c r="C40" s="3"/>
      <c r="D40" s="3" t="s">
        <v>2</v>
      </c>
      <c r="E40" s="4">
        <f>QUARTILE(L4:L13,3)</f>
        <v>0.48729999999999996</v>
      </c>
      <c r="F40" s="3"/>
      <c r="G40" s="3"/>
    </row>
    <row r="41" spans="1:13">
      <c r="A41" t="s">
        <v>111</v>
      </c>
      <c r="B41" s="3">
        <v>5</v>
      </c>
      <c r="C41" s="3"/>
      <c r="D41" s="3"/>
      <c r="E41" s="3"/>
      <c r="F41" s="3"/>
      <c r="G41" s="3"/>
    </row>
    <row r="42" spans="1:13">
      <c r="B42" s="3"/>
      <c r="C42" s="3"/>
      <c r="D42" s="3"/>
      <c r="E42" s="3"/>
      <c r="F42" s="3"/>
      <c r="G42" s="3"/>
    </row>
    <row r="43" spans="1:13" ht="103.5" customHeight="1">
      <c r="A43" s="6" t="s">
        <v>36</v>
      </c>
      <c r="B43" s="5">
        <v>4.5</v>
      </c>
      <c r="C43" s="5"/>
      <c r="D43" s="3" t="s">
        <v>10</v>
      </c>
      <c r="E43" s="5"/>
      <c r="F43" s="5">
        <v>0.5</v>
      </c>
      <c r="G43" s="5"/>
      <c r="H43" s="7"/>
      <c r="I43" s="7"/>
      <c r="J43" s="7"/>
      <c r="K43" s="7"/>
      <c r="L43" s="5">
        <v>5</v>
      </c>
      <c r="M43" s="5"/>
    </row>
    <row r="44" spans="1:13">
      <c r="A44" t="s">
        <v>110</v>
      </c>
      <c r="B44" s="3">
        <v>4.5</v>
      </c>
      <c r="C44" s="3"/>
      <c r="D44" s="3" t="s">
        <v>8</v>
      </c>
      <c r="E44" s="3">
        <f>QUARTILE(N4:N13,1)</f>
        <v>-19.055</v>
      </c>
      <c r="F44" s="502" t="s">
        <v>7</v>
      </c>
      <c r="G44" s="502"/>
      <c r="H44">
        <v>0.5</v>
      </c>
    </row>
    <row r="45" spans="1:13">
      <c r="A45" t="s">
        <v>109</v>
      </c>
      <c r="B45" s="3">
        <v>3.375</v>
      </c>
      <c r="C45" s="3"/>
      <c r="D45" s="3" t="s">
        <v>5</v>
      </c>
      <c r="E45" s="3">
        <f>QUARTILE(N4:N13,2)</f>
        <v>-6.78</v>
      </c>
      <c r="F45" s="502" t="s">
        <v>4</v>
      </c>
      <c r="G45" s="502"/>
      <c r="H45">
        <v>0</v>
      </c>
    </row>
    <row r="46" spans="1:13">
      <c r="A46" t="s">
        <v>108</v>
      </c>
      <c r="B46" s="3">
        <v>2.25</v>
      </c>
      <c r="C46" s="3"/>
      <c r="D46" s="3" t="s">
        <v>2</v>
      </c>
      <c r="E46" s="3">
        <f>QUARTILE(N4:N13,3)</f>
        <v>14.725</v>
      </c>
      <c r="F46" s="3"/>
      <c r="G46" s="3"/>
    </row>
    <row r="47" spans="1:13">
      <c r="A47" t="s">
        <v>107</v>
      </c>
      <c r="B47" s="3">
        <v>1.125</v>
      </c>
      <c r="C47" s="3"/>
      <c r="D47" s="3"/>
      <c r="E47" s="3"/>
      <c r="F47" s="3"/>
      <c r="G47" s="3"/>
    </row>
    <row r="48" spans="1:13">
      <c r="B48" s="3"/>
      <c r="C48" s="3"/>
      <c r="D48" s="3"/>
      <c r="E48" s="3"/>
      <c r="F48" s="3"/>
      <c r="G48" s="3"/>
    </row>
    <row r="49" spans="1:13" ht="69" customHeight="1">
      <c r="A49" s="6" t="s">
        <v>31</v>
      </c>
      <c r="B49" s="5">
        <v>9</v>
      </c>
      <c r="C49" s="5"/>
      <c r="D49" s="5"/>
      <c r="E49" s="5"/>
      <c r="F49" s="5">
        <v>1</v>
      </c>
      <c r="G49" s="5"/>
      <c r="H49" s="7"/>
      <c r="I49" s="7"/>
      <c r="J49" s="7"/>
      <c r="K49" s="7"/>
      <c r="L49" s="5">
        <v>10</v>
      </c>
      <c r="M49" s="5"/>
    </row>
    <row r="50" spans="1:13">
      <c r="A50" t="s">
        <v>30</v>
      </c>
      <c r="B50" s="3">
        <v>2.25</v>
      </c>
      <c r="C50" s="3"/>
      <c r="D50" s="3"/>
      <c r="E50" s="3"/>
      <c r="F50" s="502" t="s">
        <v>7</v>
      </c>
      <c r="G50" s="502"/>
      <c r="H50">
        <v>1</v>
      </c>
    </row>
    <row r="51" spans="1:13">
      <c r="A51" t="s">
        <v>29</v>
      </c>
      <c r="B51" s="3">
        <v>4.5</v>
      </c>
      <c r="C51" s="3"/>
      <c r="D51" s="3"/>
      <c r="E51" s="3"/>
      <c r="F51" s="502" t="s">
        <v>4</v>
      </c>
      <c r="G51" s="502"/>
      <c r="H51">
        <v>0</v>
      </c>
    </row>
    <row r="52" spans="1:13">
      <c r="A52" t="s">
        <v>28</v>
      </c>
      <c r="B52" s="3">
        <v>6.75</v>
      </c>
      <c r="C52" s="3"/>
      <c r="D52" s="3"/>
      <c r="E52" s="3"/>
      <c r="F52" s="3"/>
      <c r="G52" s="3"/>
    </row>
    <row r="53" spans="1:13">
      <c r="A53" t="s">
        <v>27</v>
      </c>
      <c r="B53" s="3">
        <v>9</v>
      </c>
      <c r="C53" s="3"/>
      <c r="D53" s="3"/>
      <c r="E53" s="3"/>
      <c r="F53" s="3"/>
      <c r="G53" s="3"/>
    </row>
    <row r="54" spans="1:13">
      <c r="B54" s="3"/>
      <c r="C54" s="3"/>
      <c r="D54" s="3"/>
      <c r="E54" s="3"/>
      <c r="F54" s="3"/>
      <c r="G54" s="3"/>
    </row>
    <row r="55" spans="1:13" ht="86.25" customHeight="1">
      <c r="A55" s="6" t="s">
        <v>26</v>
      </c>
      <c r="B55" s="9">
        <v>13.5</v>
      </c>
      <c r="C55" s="9"/>
      <c r="D55" s="10"/>
      <c r="E55" s="10"/>
      <c r="F55" s="9">
        <v>1.5</v>
      </c>
      <c r="G55" s="9"/>
      <c r="H55" s="8"/>
      <c r="I55" s="7"/>
      <c r="J55" s="7"/>
      <c r="K55" s="7"/>
      <c r="L55" s="5">
        <v>15</v>
      </c>
      <c r="M55" s="5"/>
    </row>
    <row r="56" spans="1:13">
      <c r="A56" t="s">
        <v>25</v>
      </c>
      <c r="B56" s="3">
        <v>3.375</v>
      </c>
      <c r="C56" s="3"/>
      <c r="D56" s="3"/>
      <c r="E56" s="3"/>
      <c r="F56" s="502" t="s">
        <v>7</v>
      </c>
      <c r="G56" s="502"/>
      <c r="H56">
        <v>1.5</v>
      </c>
    </row>
    <row r="57" spans="1:13">
      <c r="A57" t="s">
        <v>24</v>
      </c>
      <c r="B57" s="3">
        <v>6.75</v>
      </c>
      <c r="C57" s="3"/>
      <c r="D57" s="3"/>
      <c r="E57" s="3"/>
      <c r="F57" s="502" t="s">
        <v>4</v>
      </c>
      <c r="G57" s="502"/>
      <c r="H57">
        <v>0</v>
      </c>
    </row>
    <row r="58" spans="1:13">
      <c r="A58" t="s">
        <v>23</v>
      </c>
      <c r="B58" s="3">
        <v>10.125</v>
      </c>
      <c r="C58" s="3"/>
      <c r="D58" s="3"/>
      <c r="E58" s="3"/>
      <c r="F58" s="3"/>
      <c r="G58" s="3"/>
    </row>
    <row r="59" spans="1:13">
      <c r="A59" t="s">
        <v>22</v>
      </c>
      <c r="B59" s="3">
        <v>13.5</v>
      </c>
      <c r="C59" s="3"/>
      <c r="D59" s="3"/>
      <c r="E59" s="3"/>
      <c r="F59" s="3"/>
      <c r="G59" s="3"/>
    </row>
    <row r="60" spans="1:13">
      <c r="B60" s="3"/>
      <c r="C60" s="3"/>
      <c r="D60" s="3"/>
      <c r="E60" s="3"/>
      <c r="F60" s="3"/>
      <c r="G60" s="3"/>
    </row>
    <row r="61" spans="1:13" ht="34.5" customHeight="1">
      <c r="A61" s="6" t="s">
        <v>21</v>
      </c>
      <c r="B61" s="9">
        <v>13.5</v>
      </c>
      <c r="C61" s="9"/>
      <c r="D61" s="10"/>
      <c r="E61" s="10"/>
      <c r="F61" s="9">
        <v>1.5</v>
      </c>
      <c r="G61" s="9"/>
      <c r="H61" s="8"/>
      <c r="I61" s="7"/>
      <c r="J61" s="7"/>
      <c r="K61" s="7"/>
      <c r="L61" s="5">
        <v>15</v>
      </c>
      <c r="M61" s="5"/>
    </row>
    <row r="62" spans="1:13">
      <c r="A62" t="s">
        <v>20</v>
      </c>
      <c r="B62" s="3">
        <v>3.375</v>
      </c>
      <c r="C62" s="3"/>
      <c r="D62" s="3"/>
      <c r="E62" s="3"/>
      <c r="F62" s="3" t="s">
        <v>7</v>
      </c>
      <c r="G62" s="3"/>
      <c r="H62">
        <v>1.5</v>
      </c>
    </row>
    <row r="63" spans="1:13">
      <c r="A63" t="s">
        <v>19</v>
      </c>
      <c r="B63" s="3">
        <v>6.75</v>
      </c>
      <c r="C63" s="3"/>
      <c r="D63" s="3"/>
      <c r="E63" s="3"/>
      <c r="F63" s="3" t="s">
        <v>4</v>
      </c>
      <c r="G63" s="3"/>
      <c r="H63">
        <v>0</v>
      </c>
    </row>
    <row r="64" spans="1:13">
      <c r="A64" t="s">
        <v>18</v>
      </c>
      <c r="B64" s="3">
        <v>10.125</v>
      </c>
      <c r="C64" s="3"/>
      <c r="D64" s="3"/>
      <c r="E64" s="3"/>
      <c r="F64" s="3"/>
      <c r="G64" s="3"/>
    </row>
    <row r="65" spans="1:13">
      <c r="A65" t="s">
        <v>17</v>
      </c>
      <c r="B65" s="3">
        <v>13.5</v>
      </c>
      <c r="C65" s="3"/>
      <c r="D65" s="3"/>
      <c r="E65" s="3"/>
      <c r="F65" s="3"/>
      <c r="G65" s="3"/>
    </row>
    <row r="66" spans="1:13">
      <c r="B66" s="3"/>
      <c r="C66" s="3"/>
      <c r="D66" s="3"/>
      <c r="E66" s="3"/>
      <c r="F66" s="3"/>
      <c r="G66" s="3"/>
    </row>
    <row r="67" spans="1:13" ht="86.25" customHeight="1">
      <c r="A67" s="6" t="s">
        <v>16</v>
      </c>
      <c r="B67" s="5">
        <v>4.5</v>
      </c>
      <c r="C67" s="5"/>
      <c r="D67" s="3" t="s">
        <v>10</v>
      </c>
      <c r="E67" s="5"/>
      <c r="F67" s="5">
        <v>0.5</v>
      </c>
      <c r="G67" s="5"/>
      <c r="H67" s="7"/>
      <c r="I67" s="7"/>
      <c r="J67" s="7"/>
      <c r="K67" s="7"/>
      <c r="L67" s="5">
        <v>5</v>
      </c>
      <c r="M67" s="5"/>
    </row>
    <row r="68" spans="1:13">
      <c r="A68" t="s">
        <v>106</v>
      </c>
      <c r="B68" s="3">
        <v>1.125</v>
      </c>
      <c r="C68" s="3"/>
      <c r="D68" s="3" t="s">
        <v>8</v>
      </c>
      <c r="E68" s="3">
        <f>QUARTILE(AD4:AD13,1)</f>
        <v>1.0334680000000001</v>
      </c>
      <c r="F68" s="502" t="s">
        <v>7</v>
      </c>
      <c r="G68" s="502"/>
      <c r="H68">
        <v>0.5</v>
      </c>
    </row>
    <row r="69" spans="1:13">
      <c r="A69" t="s">
        <v>105</v>
      </c>
      <c r="B69" s="3">
        <v>2.25</v>
      </c>
      <c r="C69" s="3"/>
      <c r="D69" s="3" t="s">
        <v>5</v>
      </c>
      <c r="E69" s="3">
        <f>QUARTILE(AD4:AD13,2)</f>
        <v>1.232078</v>
      </c>
      <c r="F69" s="502" t="s">
        <v>4</v>
      </c>
      <c r="G69" s="502"/>
      <c r="H69">
        <v>0</v>
      </c>
    </row>
    <row r="70" spans="1:13">
      <c r="A70" t="s">
        <v>104</v>
      </c>
      <c r="B70" s="3">
        <v>3.375</v>
      </c>
      <c r="C70" s="3"/>
      <c r="D70" s="3" t="s">
        <v>2</v>
      </c>
      <c r="E70" s="3">
        <f>QUARTILE(AD4:AD13,3)</f>
        <v>1.5108899999999998</v>
      </c>
      <c r="F70" s="3"/>
      <c r="G70" s="3"/>
    </row>
    <row r="71" spans="1:13">
      <c r="A71" t="s">
        <v>103</v>
      </c>
      <c r="B71" s="3">
        <v>4.5</v>
      </c>
      <c r="C71" s="3"/>
      <c r="D71" s="3"/>
      <c r="E71" s="3"/>
      <c r="F71" s="3"/>
      <c r="G71" s="3"/>
    </row>
    <row r="72" spans="1:13">
      <c r="B72" s="3"/>
      <c r="C72" s="3"/>
      <c r="D72" s="3"/>
      <c r="E72" s="3"/>
      <c r="F72" s="3"/>
      <c r="G72" s="3"/>
    </row>
    <row r="73" spans="1:13" ht="17.25">
      <c r="A73" s="6" t="s">
        <v>11</v>
      </c>
      <c r="B73" s="5">
        <v>9</v>
      </c>
      <c r="C73" s="5"/>
      <c r="D73" s="3" t="s">
        <v>10</v>
      </c>
      <c r="E73" s="5"/>
      <c r="F73" s="5">
        <v>1</v>
      </c>
      <c r="G73" s="5"/>
      <c r="H73" s="5"/>
      <c r="I73" s="5"/>
      <c r="J73" s="5"/>
      <c r="K73" s="5"/>
      <c r="L73" s="5">
        <v>10</v>
      </c>
      <c r="M73" s="5"/>
    </row>
    <row r="74" spans="1:13">
      <c r="A74" t="s">
        <v>102</v>
      </c>
      <c r="B74" s="3">
        <v>2.25</v>
      </c>
      <c r="C74" s="3"/>
      <c r="D74" s="3" t="s">
        <v>8</v>
      </c>
      <c r="E74" s="4">
        <f>QUARTILE(AH4:AH13,1)</f>
        <v>0.28465000000000001</v>
      </c>
      <c r="F74" s="502" t="s">
        <v>7</v>
      </c>
      <c r="G74" s="502"/>
      <c r="H74">
        <v>1</v>
      </c>
    </row>
    <row r="75" spans="1:13">
      <c r="A75" t="s">
        <v>101</v>
      </c>
      <c r="B75" s="3">
        <v>4.5</v>
      </c>
      <c r="C75" s="3"/>
      <c r="D75" s="3" t="s">
        <v>5</v>
      </c>
      <c r="E75" s="4">
        <f>QUARTILE(AH4:AH13,2)</f>
        <v>0.93540000000000001</v>
      </c>
      <c r="F75" s="502" t="s">
        <v>4</v>
      </c>
      <c r="G75" s="502"/>
      <c r="H75">
        <v>0</v>
      </c>
    </row>
    <row r="76" spans="1:13">
      <c r="A76" t="s">
        <v>100</v>
      </c>
      <c r="B76" s="3">
        <v>6.75</v>
      </c>
      <c r="C76" s="3"/>
      <c r="D76" s="3" t="s">
        <v>2</v>
      </c>
      <c r="E76" s="4">
        <f>QUARTILE(AH4:AH13,3)</f>
        <v>0.97205000000000008</v>
      </c>
      <c r="F76" s="3"/>
      <c r="G76" s="3"/>
    </row>
    <row r="77" spans="1:13">
      <c r="A77" t="s">
        <v>99</v>
      </c>
      <c r="B77" s="3">
        <v>9</v>
      </c>
      <c r="C77" s="3"/>
      <c r="D77" s="3"/>
      <c r="E77" s="3"/>
      <c r="F77" s="3"/>
      <c r="G77" s="3"/>
    </row>
    <row r="78" spans="1:13">
      <c r="B78" s="3"/>
      <c r="C78" s="3"/>
      <c r="D78" s="3"/>
      <c r="E78" s="3"/>
      <c r="F78" s="3"/>
      <c r="G78" s="3"/>
    </row>
    <row r="79" spans="1:13" ht="18.75">
      <c r="B79" s="504" t="s">
        <v>0</v>
      </c>
      <c r="C79" s="504"/>
      <c r="D79" s="504"/>
      <c r="E79" s="504"/>
      <c r="F79" s="504"/>
      <c r="G79" s="504"/>
      <c r="H79" s="504"/>
      <c r="I79" s="504"/>
      <c r="J79" s="504"/>
      <c r="K79" s="2"/>
      <c r="L79" s="1">
        <f>SUM(L18:L76)</f>
        <v>100</v>
      </c>
      <c r="M79" s="1"/>
    </row>
  </sheetData>
  <mergeCells count="12">
    <mergeCell ref="F74:G74"/>
    <mergeCell ref="F75:G75"/>
    <mergeCell ref="A1:AJ2"/>
    <mergeCell ref="B79:J79"/>
    <mergeCell ref="F44:G44"/>
    <mergeCell ref="F45:G45"/>
    <mergeCell ref="F50:G50"/>
    <mergeCell ref="F51:G51"/>
    <mergeCell ref="F56:G56"/>
    <mergeCell ref="F57:G57"/>
    <mergeCell ref="F68:G68"/>
    <mergeCell ref="F69:G69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L119"/>
  <sheetViews>
    <sheetView zoomScale="80" zoomScaleNormal="80" workbookViewId="0">
      <selection activeCell="A4" sqref="A4:A18"/>
    </sheetView>
  </sheetViews>
  <sheetFormatPr defaultRowHeight="15"/>
  <cols>
    <col min="1" max="1" width="29.28515625" customWidth="1"/>
    <col min="3" max="3" width="9.140625" customWidth="1"/>
    <col min="4" max="4" width="15" customWidth="1"/>
    <col min="5" max="5" width="10.5703125" customWidth="1"/>
    <col min="6" max="6" width="16.7109375" bestFit="1" customWidth="1"/>
    <col min="7" max="7" width="9.140625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6.710937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6" max="26" width="10.5703125" bestFit="1" customWidth="1"/>
    <col min="27" max="27" width="9.14062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5" width="9.7109375" customWidth="1"/>
    <col min="36" max="36" width="7.85546875" customWidth="1"/>
    <col min="37" max="37" width="9.140625" customWidth="1"/>
    <col min="38" max="38" width="11.85546875" customWidth="1"/>
  </cols>
  <sheetData>
    <row r="1" spans="1:38">
      <c r="A1" s="503" t="s">
        <v>606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8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8" ht="45" customHeight="1">
      <c r="A3" s="39" t="s">
        <v>97</v>
      </c>
      <c r="B3" s="39" t="s">
        <v>96</v>
      </c>
      <c r="C3" s="51" t="s">
        <v>93</v>
      </c>
      <c r="D3" s="51" t="s">
        <v>95</v>
      </c>
      <c r="E3" s="51" t="s">
        <v>93</v>
      </c>
      <c r="F3" s="39" t="s">
        <v>94</v>
      </c>
      <c r="G3" s="51" t="s">
        <v>83</v>
      </c>
      <c r="H3" s="51" t="s">
        <v>84</v>
      </c>
      <c r="I3" s="51" t="s">
        <v>93</v>
      </c>
      <c r="J3" s="39" t="s">
        <v>92</v>
      </c>
      <c r="K3" s="51" t="s">
        <v>83</v>
      </c>
      <c r="L3" s="52" t="s">
        <v>91</v>
      </c>
      <c r="M3" s="51" t="s">
        <v>83</v>
      </c>
      <c r="N3" s="51" t="s">
        <v>90</v>
      </c>
      <c r="O3" s="51" t="s">
        <v>83</v>
      </c>
      <c r="P3" s="51" t="s">
        <v>84</v>
      </c>
      <c r="Q3" s="51" t="s">
        <v>83</v>
      </c>
      <c r="R3" s="51" t="s">
        <v>89</v>
      </c>
      <c r="S3" s="51" t="s">
        <v>83</v>
      </c>
      <c r="T3" s="51" t="s">
        <v>84</v>
      </c>
      <c r="U3" s="51" t="s">
        <v>83</v>
      </c>
      <c r="V3" s="51" t="s">
        <v>88</v>
      </c>
      <c r="W3" s="51" t="s">
        <v>83</v>
      </c>
      <c r="X3" s="51" t="s">
        <v>84</v>
      </c>
      <c r="Y3" s="51" t="s">
        <v>83</v>
      </c>
      <c r="Z3" s="51" t="s">
        <v>87</v>
      </c>
      <c r="AA3" s="51" t="s">
        <v>83</v>
      </c>
      <c r="AB3" s="51" t="s">
        <v>84</v>
      </c>
      <c r="AC3" s="57" t="s">
        <v>83</v>
      </c>
      <c r="AD3" s="57" t="s">
        <v>86</v>
      </c>
      <c r="AE3" s="57" t="s">
        <v>83</v>
      </c>
      <c r="AF3" s="57" t="s">
        <v>84</v>
      </c>
      <c r="AG3" s="57" t="s">
        <v>83</v>
      </c>
      <c r="AH3" s="57" t="s">
        <v>85</v>
      </c>
      <c r="AI3" s="57" t="s">
        <v>83</v>
      </c>
      <c r="AJ3" s="57" t="s">
        <v>84</v>
      </c>
      <c r="AK3" s="57" t="s">
        <v>83</v>
      </c>
      <c r="AL3" s="57" t="s">
        <v>82</v>
      </c>
    </row>
    <row r="4" spans="1:38">
      <c r="A4" s="45" t="s">
        <v>530</v>
      </c>
      <c r="B4" s="43">
        <v>4.9000000000000004</v>
      </c>
      <c r="C4" s="43">
        <f t="shared" ref="C4:C18" si="0">IF(B4&gt;5,$B$25,IF(B4&lt;=-7.3,$B$22,IF(AND(B4&gt;-7.3,B4&lt;=0.5),$B$23,$B$24)))</f>
        <v>10.125</v>
      </c>
      <c r="D4" s="39">
        <v>0</v>
      </c>
      <c r="E4" s="39" t="str">
        <f t="shared" ref="E4:E18" si="1">IF(D4=0,"0",$H$22)</f>
        <v>0</v>
      </c>
      <c r="F4" s="43">
        <v>7.8</v>
      </c>
      <c r="G4" s="43">
        <f t="shared" ref="G4:G18" si="2">IF(F4&gt;35,$B$31,IF(F4&lt;=-0.5,$B$28,IF(AND(F4&gt;-0.5,F4&lt;=5.8),$B$29,$B$30)))</f>
        <v>10.125</v>
      </c>
      <c r="H4" s="39">
        <v>0</v>
      </c>
      <c r="I4" s="39" t="str">
        <f t="shared" ref="I4:I18" si="3">IF(H4=0,"0",$H$29)</f>
        <v>0</v>
      </c>
      <c r="J4" s="46">
        <f>'[1]CAGR, ROCE'!H3</f>
        <v>1.7820638557085378E-2</v>
      </c>
      <c r="K4" s="42">
        <f t="shared" ref="K4:K18" si="4">IF(J4&gt;QUARTILE($J$4:$J$18,3),$B$38,IF(AND(J4&lt;=QUARTILE($J$4:$J$18,3),J4&gt;QUARTILE($J$4:$J$18,2)),$B$37,IF(AND(J4&lt;=QUARTILE($J$4:$J$18,2),J4&gt;QUARTILE($J$4:$J$18,1)),$B$36,$B$35)))</f>
        <v>2.5</v>
      </c>
      <c r="L4" s="46">
        <f>'[1]CAGR, ROCE'!F45</f>
        <v>-0.40711469778031395</v>
      </c>
      <c r="M4" s="42">
        <f t="shared" ref="M4:M18" si="5">IF(L4&gt;QUARTILE($L$4:$L$18,3),$B$44,IF(AND(L4&lt;=QUARTILE($L$4:$L$18,3),L4&gt;QUARTILE($L$4:$L$18,2)),$B$43,IF(AND(L4&lt;=QUARTILE($L$4:$L$18,2),L4&gt;QUARTILE($L$4:$L$18,1)),$B$42,$B$41)))</f>
        <v>1.25</v>
      </c>
      <c r="N4" s="43">
        <v>-21.13</v>
      </c>
      <c r="O4" s="43">
        <f t="shared" ref="O4:O18" si="6">IF(N5&gt;QUARTILE($N$4:$N$18,3),$B$50,IF(AND(N5&lt;=QUARTILE($N$4:$N$18,3),N5&gt;QUARTILE($N$4:$N$18,2)),$B$49,IF(AND(N5&lt;=QUARTILE($N$4:$N$18,2),N5&gt;QUARTILE($N$4:$N$18,1)),$B$48,$B$47)))</f>
        <v>1.125</v>
      </c>
      <c r="P4" s="43">
        <v>1</v>
      </c>
      <c r="Q4" s="43" t="str">
        <f t="shared" ref="Q4:Q18" si="7">IF(P4=0,"0","0,5")</f>
        <v>0,5</v>
      </c>
      <c r="R4" s="234">
        <v>6.52</v>
      </c>
      <c r="S4" s="42">
        <f t="shared" ref="S4:S18" si="8">IF(R4&gt;9.55%,$B$56,IF(AND(R4&lt;=9.55%,R4&gt;2.56%),$B$55,IF(AND(R4&lt;=2.56%,R4&gt;-7.91),$B$54,$B$53)))</f>
        <v>9</v>
      </c>
      <c r="T4" s="47">
        <v>0</v>
      </c>
      <c r="U4" s="46" t="str">
        <f t="shared" ref="U4:U18" si="9">IF(T4=0,"0","1")</f>
        <v>0</v>
      </c>
      <c r="V4" s="234">
        <v>4.29</v>
      </c>
      <c r="W4" s="42">
        <f t="shared" ref="W4:W18" si="10">IF(V4&gt;5.77%,$B$62,IF(AND(V4&lt;=5.77%,V4&gt;1.03%),$B$61,IF(AND(V4&lt;=1.03%,V4&gt;-10.86),$B$60,$B$59)))</f>
        <v>13.5</v>
      </c>
      <c r="X4" s="47">
        <v>0</v>
      </c>
      <c r="Y4" s="46" t="str">
        <f t="shared" ref="Y4:Y18" si="11">IF(X4=0,"0","1,5")</f>
        <v>0</v>
      </c>
      <c r="Z4" s="234">
        <v>1.52</v>
      </c>
      <c r="AA4" s="42">
        <f t="shared" ref="AA4:AA18" si="12">IF(Z4&gt;3.55%,$B$68,IF(AND(Z4&lt;=3.55%,Z4&gt;0.37%),$B$67,IF(AND(Z4&lt;=0.37%,Z4&gt;-14.3%),$B$66,$B$65)))</f>
        <v>15</v>
      </c>
      <c r="AB4" s="47">
        <v>0</v>
      </c>
      <c r="AC4" s="46" t="str">
        <f t="shared" ref="AC4:AC18" si="13">IF(AB4=0,"0","1,5")</f>
        <v>0</v>
      </c>
      <c r="AD4" s="13">
        <f>'[1]CAGR, ROCE'!J66</f>
        <v>1.0448072720783992</v>
      </c>
      <c r="AE4" s="48">
        <f t="shared" ref="AE4:AE18" si="14">IF(AD4&gt;QUARTILE($AD$4:$AD$18,3),$B$74,IF(AND(AD4&lt;=QUARTILE($AD$4:$AD$18,3),AD4&gt;QUARTILE($AD$4:$AD$18,2)),$B$73,IF(AND(AD4&lt;=QUARTILE($AD$4:$AD$18,2),AD4&gt;QUARTILE($AD$4:$AD$18,1)),$B$72,$B$71)))</f>
        <v>4.5</v>
      </c>
      <c r="AF4" s="22">
        <f>IF(('[1]CAGR, ROCE'!J66-'[1]CAGR, ROCE'!I66)&gt;0,1,0)</f>
        <v>0</v>
      </c>
      <c r="AG4" s="48" t="str">
        <f t="shared" ref="AG4:AG18" si="15">IF(AF4=0,"0","0,5")</f>
        <v>0</v>
      </c>
      <c r="AH4" s="12">
        <f>'[1]CAGR, ROCE'!P26</f>
        <v>0.18234717225766131</v>
      </c>
      <c r="AI4" s="42">
        <f t="shared" ref="AI4:AI18" si="16">IF(AH4&gt;QUARTILE($AH$4:$AH$18,3),$B$80,IF(AND(AH4&lt;=QUARTILE($AH$4:$AH$18,3),AH4&gt;QUARTILE($AH$4:$AH$18,2)),$B$79,IF(AND(AH4&lt;=QUARTILE($AH$4:$AH$18,2),AH4&gt;QUARTILE($AH$4:$AH$18,1)),$B$78,$B$77)))</f>
        <v>6.75</v>
      </c>
      <c r="AJ4" s="3">
        <f>IF(('[1]CAGR, ROCE'!P26-'[1]CAGR, ROCE'!O26)&gt;0,1,0)</f>
        <v>0</v>
      </c>
      <c r="AK4" s="39" t="str">
        <f t="shared" ref="AK4:AK18" si="17">IF(AJ4=0,"0","1")</f>
        <v>0</v>
      </c>
      <c r="AL4" s="10">
        <f t="shared" ref="AL4:AL18" si="18">C4+E4+G4+I4+K4+M4+O4+Q4+S4+U4+W4+Y4+AA4+AC4+AE4+AG4+AI4+AK4</f>
        <v>74.375</v>
      </c>
    </row>
    <row r="5" spans="1:38">
      <c r="A5" s="45" t="s">
        <v>529</v>
      </c>
      <c r="B5" s="43">
        <v>4.5999999999999996</v>
      </c>
      <c r="C5" s="43">
        <f t="shared" si="0"/>
        <v>10.125</v>
      </c>
      <c r="D5" s="39">
        <v>1</v>
      </c>
      <c r="E5" s="39">
        <f t="shared" si="1"/>
        <v>1.5</v>
      </c>
      <c r="F5" s="43">
        <v>11.4</v>
      </c>
      <c r="G5" s="43">
        <f t="shared" si="2"/>
        <v>10.125</v>
      </c>
      <c r="H5" s="39">
        <v>1</v>
      </c>
      <c r="I5" s="39">
        <f t="shared" si="3"/>
        <v>1.5</v>
      </c>
      <c r="J5" s="46">
        <f>'[1]CAGR, ROCE'!H4</f>
        <v>6.878749634701542E-2</v>
      </c>
      <c r="K5" s="42">
        <f t="shared" si="4"/>
        <v>3.75</v>
      </c>
      <c r="L5" s="46">
        <f>'[1]CAGR, ROCE'!F46</f>
        <v>0.13894867242491538</v>
      </c>
      <c r="M5" s="42">
        <f t="shared" si="5"/>
        <v>3.75</v>
      </c>
      <c r="N5" s="43">
        <v>-27.63</v>
      </c>
      <c r="O5" s="43">
        <f t="shared" si="6"/>
        <v>2.25</v>
      </c>
      <c r="P5" s="43">
        <v>0</v>
      </c>
      <c r="Q5" s="43" t="str">
        <f t="shared" si="7"/>
        <v>0</v>
      </c>
      <c r="R5" s="234">
        <v>9.76</v>
      </c>
      <c r="S5" s="42">
        <f t="shared" si="8"/>
        <v>9</v>
      </c>
      <c r="T5" s="47">
        <v>1</v>
      </c>
      <c r="U5" s="46" t="str">
        <f t="shared" si="9"/>
        <v>1</v>
      </c>
      <c r="V5" s="234">
        <v>5.2</v>
      </c>
      <c r="W5" s="42">
        <f t="shared" si="10"/>
        <v>13.5</v>
      </c>
      <c r="X5" s="47">
        <v>0</v>
      </c>
      <c r="Y5" s="46" t="str">
        <f t="shared" si="11"/>
        <v>0</v>
      </c>
      <c r="Z5" s="234">
        <v>1.25</v>
      </c>
      <c r="AA5" s="42">
        <f t="shared" si="12"/>
        <v>15</v>
      </c>
      <c r="AB5" s="47">
        <v>1</v>
      </c>
      <c r="AC5" s="46" t="str">
        <f t="shared" si="13"/>
        <v>1,5</v>
      </c>
      <c r="AD5" s="13">
        <f>'[1]CAGR, ROCE'!J67</f>
        <v>1.0548892579780842</v>
      </c>
      <c r="AE5" s="48">
        <f t="shared" si="14"/>
        <v>4.5</v>
      </c>
      <c r="AF5" s="22">
        <f>IF(('[1]CAGR, ROCE'!J67-'[1]CAGR, ROCE'!I67)&gt;0,1,0)</f>
        <v>0</v>
      </c>
      <c r="AG5" s="48" t="str">
        <f t="shared" si="15"/>
        <v>0</v>
      </c>
      <c r="AH5" s="12">
        <f>'[1]CAGR, ROCE'!P27</f>
        <v>7.4098503017896916E-2</v>
      </c>
      <c r="AI5" s="42">
        <f t="shared" si="16"/>
        <v>6.75</v>
      </c>
      <c r="AJ5" s="3">
        <f>IF(('[1]CAGR, ROCE'!P27-'[1]CAGR, ROCE'!O27)&gt;0,1,0)</f>
        <v>1</v>
      </c>
      <c r="AK5" s="39" t="str">
        <f t="shared" si="17"/>
        <v>1</v>
      </c>
      <c r="AL5" s="10">
        <f t="shared" si="18"/>
        <v>85.25</v>
      </c>
    </row>
    <row r="6" spans="1:38">
      <c r="A6" s="45" t="s">
        <v>528</v>
      </c>
      <c r="B6" s="43">
        <v>4.7</v>
      </c>
      <c r="C6" s="43">
        <f t="shared" si="0"/>
        <v>10.125</v>
      </c>
      <c r="D6" s="39">
        <v>1</v>
      </c>
      <c r="E6" s="39">
        <f t="shared" si="1"/>
        <v>1.5</v>
      </c>
      <c r="F6" s="43">
        <v>5.4</v>
      </c>
      <c r="G6" s="43">
        <f t="shared" si="2"/>
        <v>6.75</v>
      </c>
      <c r="H6" s="39">
        <v>0</v>
      </c>
      <c r="I6" s="39" t="str">
        <f t="shared" si="3"/>
        <v>0</v>
      </c>
      <c r="J6" s="46">
        <f>'[1]CAGR, ROCE'!H5</f>
        <v>4.1207774691164767E-2</v>
      </c>
      <c r="K6" s="42">
        <f t="shared" si="4"/>
        <v>3.75</v>
      </c>
      <c r="L6" s="46">
        <f>'[1]CAGR, ROCE'!F47</f>
        <v>-0.2082695188422338</v>
      </c>
      <c r="M6" s="42">
        <f t="shared" si="5"/>
        <v>2.5</v>
      </c>
      <c r="N6" s="43">
        <v>-11.51</v>
      </c>
      <c r="O6" s="43">
        <f t="shared" si="6"/>
        <v>2.25</v>
      </c>
      <c r="P6" s="43"/>
      <c r="Q6" s="43" t="str">
        <f t="shared" si="7"/>
        <v>0</v>
      </c>
      <c r="R6" s="234">
        <v>2.96</v>
      </c>
      <c r="S6" s="42">
        <f t="shared" si="8"/>
        <v>9</v>
      </c>
      <c r="T6" s="47"/>
      <c r="U6" s="46" t="str">
        <f t="shared" si="9"/>
        <v>0</v>
      </c>
      <c r="V6" s="234">
        <v>1.34</v>
      </c>
      <c r="W6" s="42">
        <f t="shared" si="10"/>
        <v>13.5</v>
      </c>
      <c r="X6" s="47"/>
      <c r="Y6" s="46" t="str">
        <f t="shared" si="11"/>
        <v>0</v>
      </c>
      <c r="Z6" s="234">
        <v>0.56999999999999995</v>
      </c>
      <c r="AA6" s="42">
        <f t="shared" si="12"/>
        <v>15</v>
      </c>
      <c r="AB6" s="47"/>
      <c r="AC6" s="46" t="str">
        <f t="shared" si="13"/>
        <v>0</v>
      </c>
      <c r="AD6" s="13">
        <f>'[1]CAGR, ROCE'!J68</f>
        <v>1.0135962230424607</v>
      </c>
      <c r="AE6" s="48">
        <f t="shared" si="14"/>
        <v>2.25</v>
      </c>
      <c r="AF6" s="22">
        <f>IF(('[1]CAGR, ROCE'!J68-'[1]CAGR, ROCE'!I68)&gt;0,1,0)</f>
        <v>1</v>
      </c>
      <c r="AG6" s="48" t="str">
        <f t="shared" si="15"/>
        <v>0,5</v>
      </c>
      <c r="AH6" s="12">
        <f>'[1]CAGR, ROCE'!P28</f>
        <v>0.14294093746344574</v>
      </c>
      <c r="AI6" s="42">
        <f t="shared" si="16"/>
        <v>6.75</v>
      </c>
      <c r="AJ6" s="3">
        <f>IF(('[1]CAGR, ROCE'!P28-'[1]CAGR, ROCE'!O28)&gt;0,1,0)</f>
        <v>1</v>
      </c>
      <c r="AK6" s="39" t="str">
        <f t="shared" si="17"/>
        <v>1</v>
      </c>
      <c r="AL6" s="10">
        <f t="shared" si="18"/>
        <v>74.875</v>
      </c>
    </row>
    <row r="7" spans="1:38">
      <c r="A7" s="45" t="s">
        <v>527</v>
      </c>
      <c r="B7" s="107">
        <v>-1.2</v>
      </c>
      <c r="C7" s="43">
        <f t="shared" si="0"/>
        <v>6.75</v>
      </c>
      <c r="D7" s="39">
        <v>1</v>
      </c>
      <c r="E7" s="39">
        <f t="shared" si="1"/>
        <v>1.5</v>
      </c>
      <c r="F7" s="107">
        <v>-1.8</v>
      </c>
      <c r="G7" s="43">
        <f t="shared" si="2"/>
        <v>3.375</v>
      </c>
      <c r="H7" s="39">
        <v>1</v>
      </c>
      <c r="I7" s="39">
        <f t="shared" si="3"/>
        <v>1.5</v>
      </c>
      <c r="J7" s="46">
        <f>'[1]CAGR, ROCE'!H6</f>
        <v>0.11177583489691756</v>
      </c>
      <c r="K7" s="42">
        <f t="shared" si="4"/>
        <v>5</v>
      </c>
      <c r="L7" s="46">
        <f>'[1]CAGR, ROCE'!F48</f>
        <v>-0.29123237906936172</v>
      </c>
      <c r="M7" s="42">
        <f t="shared" si="5"/>
        <v>2.5</v>
      </c>
      <c r="N7" s="43">
        <v>-5.0999999999999996</v>
      </c>
      <c r="O7" s="43">
        <f t="shared" si="6"/>
        <v>2.25</v>
      </c>
      <c r="P7" s="43">
        <v>0</v>
      </c>
      <c r="Q7" s="43" t="str">
        <f t="shared" si="7"/>
        <v>0</v>
      </c>
      <c r="R7" s="234">
        <v>1.44</v>
      </c>
      <c r="S7" s="42">
        <f t="shared" si="8"/>
        <v>9</v>
      </c>
      <c r="T7" s="47">
        <v>1</v>
      </c>
      <c r="U7" s="46" t="str">
        <f t="shared" si="9"/>
        <v>1</v>
      </c>
      <c r="V7" s="234">
        <v>-1.01</v>
      </c>
      <c r="W7" s="42">
        <f t="shared" si="10"/>
        <v>6.75</v>
      </c>
      <c r="X7" s="47">
        <v>1</v>
      </c>
      <c r="Y7" s="46" t="str">
        <f t="shared" si="11"/>
        <v>1,5</v>
      </c>
      <c r="Z7" s="234">
        <v>-1.57</v>
      </c>
      <c r="AA7" s="42">
        <f t="shared" si="12"/>
        <v>3.75</v>
      </c>
      <c r="AB7" s="47">
        <v>1</v>
      </c>
      <c r="AC7" s="46" t="str">
        <f t="shared" si="13"/>
        <v>1,5</v>
      </c>
      <c r="AD7" s="13">
        <f>'[1]CAGR, ROCE'!J69</f>
        <v>0.98997783885179169</v>
      </c>
      <c r="AE7" s="48">
        <f t="shared" si="14"/>
        <v>1.125</v>
      </c>
      <c r="AF7" s="22">
        <f>IF(('[1]CAGR, ROCE'!J69-'[1]CAGR, ROCE'!I69)&gt;0,1,0)</f>
        <v>1</v>
      </c>
      <c r="AG7" s="48" t="str">
        <f t="shared" si="15"/>
        <v>0,5</v>
      </c>
      <c r="AH7" s="12">
        <f>'[1]CAGR, ROCE'!P29</f>
        <v>-6.56812127343842E-3</v>
      </c>
      <c r="AI7" s="42">
        <f t="shared" si="16"/>
        <v>2.25</v>
      </c>
      <c r="AJ7" s="3">
        <f>IF(('[1]CAGR, ROCE'!P29-'[1]CAGR, ROCE'!O29)&gt;0,1,0)</f>
        <v>1</v>
      </c>
      <c r="AK7" s="39" t="str">
        <f t="shared" si="17"/>
        <v>1</v>
      </c>
      <c r="AL7" s="10">
        <f t="shared" si="18"/>
        <v>51.25</v>
      </c>
    </row>
    <row r="8" spans="1:38">
      <c r="A8" s="45" t="s">
        <v>526</v>
      </c>
      <c r="B8" s="43">
        <v>-0.3</v>
      </c>
      <c r="C8" s="43">
        <f t="shared" si="0"/>
        <v>6.75</v>
      </c>
      <c r="D8" s="39">
        <v>1</v>
      </c>
      <c r="E8" s="39">
        <f t="shared" si="1"/>
        <v>1.5</v>
      </c>
      <c r="F8" s="43">
        <v>-2.5</v>
      </c>
      <c r="G8" s="43">
        <f t="shared" si="2"/>
        <v>3.375</v>
      </c>
      <c r="H8" s="39">
        <v>1</v>
      </c>
      <c r="I8" s="39">
        <f t="shared" si="3"/>
        <v>1.5</v>
      </c>
      <c r="J8" s="46">
        <f>'[1]CAGR, ROCE'!H7</f>
        <v>5.6280842088031635E-2</v>
      </c>
      <c r="K8" s="42">
        <f t="shared" si="4"/>
        <v>3.75</v>
      </c>
      <c r="L8" s="46">
        <f>'[1]CAGR, ROCE'!F49</f>
        <v>-0.4968148379866047</v>
      </c>
      <c r="M8" s="42">
        <f t="shared" si="5"/>
        <v>1.25</v>
      </c>
      <c r="N8" s="43">
        <v>-3.53</v>
      </c>
      <c r="O8" s="43">
        <f t="shared" si="6"/>
        <v>1.125</v>
      </c>
      <c r="P8" s="43">
        <v>1</v>
      </c>
      <c r="Q8" s="43" t="str">
        <f t="shared" si="7"/>
        <v>0,5</v>
      </c>
      <c r="R8" s="234">
        <v>2.25</v>
      </c>
      <c r="S8" s="42">
        <f t="shared" si="8"/>
        <v>9</v>
      </c>
      <c r="T8" s="47">
        <v>1</v>
      </c>
      <c r="U8" s="46" t="str">
        <f t="shared" si="9"/>
        <v>1</v>
      </c>
      <c r="V8" s="234">
        <v>-0.08</v>
      </c>
      <c r="W8" s="42">
        <f t="shared" si="10"/>
        <v>6.75</v>
      </c>
      <c r="X8" s="47">
        <v>1</v>
      </c>
      <c r="Y8" s="46" t="str">
        <f t="shared" si="11"/>
        <v>1,5</v>
      </c>
      <c r="Z8" s="234">
        <v>-0.96</v>
      </c>
      <c r="AA8" s="42">
        <f t="shared" si="12"/>
        <v>3.75</v>
      </c>
      <c r="AB8" s="47">
        <v>1</v>
      </c>
      <c r="AC8" s="46" t="str">
        <f t="shared" si="13"/>
        <v>1,5</v>
      </c>
      <c r="AD8" s="13">
        <f>'[1]CAGR, ROCE'!J70</f>
        <v>0.99920072856376252</v>
      </c>
      <c r="AE8" s="48">
        <f t="shared" si="14"/>
        <v>2.25</v>
      </c>
      <c r="AF8" s="22">
        <f>IF(('[1]CAGR, ROCE'!J70-'[1]CAGR, ROCE'!I70)&gt;0,1,0)</f>
        <v>1</v>
      </c>
      <c r="AG8" s="48" t="str">
        <f t="shared" si="15"/>
        <v>0,5</v>
      </c>
      <c r="AH8" s="12">
        <f>'[1]CAGR, ROCE'!P30</f>
        <v>7.3648844841720559E-4</v>
      </c>
      <c r="AI8" s="42">
        <f t="shared" si="16"/>
        <v>4.5</v>
      </c>
      <c r="AJ8" s="3">
        <f>IF(('[1]CAGR, ROCE'!P30-'[1]CAGR, ROCE'!O30)&gt;0,1,0)</f>
        <v>1</v>
      </c>
      <c r="AK8" s="39" t="str">
        <f t="shared" si="17"/>
        <v>1</v>
      </c>
      <c r="AL8" s="10">
        <f t="shared" si="18"/>
        <v>51.5</v>
      </c>
    </row>
    <row r="9" spans="1:38">
      <c r="A9" s="45" t="s">
        <v>525</v>
      </c>
      <c r="B9" s="43">
        <v>-11.9</v>
      </c>
      <c r="C9" s="43">
        <f t="shared" si="0"/>
        <v>3.375</v>
      </c>
      <c r="D9" s="39">
        <v>0</v>
      </c>
      <c r="E9" s="39" t="str">
        <f t="shared" si="1"/>
        <v>0</v>
      </c>
      <c r="F9" s="43">
        <v>-34.299999999999997</v>
      </c>
      <c r="G9" s="43">
        <f t="shared" si="2"/>
        <v>3.375</v>
      </c>
      <c r="H9" s="39">
        <v>0</v>
      </c>
      <c r="I9" s="39" t="str">
        <f t="shared" si="3"/>
        <v>0</v>
      </c>
      <c r="J9" s="46">
        <f>'[1]CAGR, ROCE'!H8</f>
        <v>3.2404325651384402E-2</v>
      </c>
      <c r="K9" s="42">
        <f t="shared" si="4"/>
        <v>2.5</v>
      </c>
      <c r="L9" s="46">
        <f>'[1]CAGR, ROCE'!F50</f>
        <v>3.2030551557107176</v>
      </c>
      <c r="M9" s="42">
        <f t="shared" si="5"/>
        <v>5</v>
      </c>
      <c r="N9" s="43">
        <v>-34.01</v>
      </c>
      <c r="O9" s="43">
        <f t="shared" si="6"/>
        <v>3.375</v>
      </c>
      <c r="P9" s="43">
        <v>1</v>
      </c>
      <c r="Q9" s="43" t="str">
        <f t="shared" si="7"/>
        <v>0,5</v>
      </c>
      <c r="R9" s="234">
        <v>-11.25</v>
      </c>
      <c r="S9" s="42">
        <f t="shared" si="8"/>
        <v>2.25</v>
      </c>
      <c r="T9" s="47">
        <v>0</v>
      </c>
      <c r="U9" s="46" t="str">
        <f t="shared" si="9"/>
        <v>0</v>
      </c>
      <c r="V9" s="234">
        <v>-16.16</v>
      </c>
      <c r="W9" s="42">
        <f t="shared" si="10"/>
        <v>3.375</v>
      </c>
      <c r="X9" s="47">
        <v>0</v>
      </c>
      <c r="Y9" s="46" t="str">
        <f t="shared" si="11"/>
        <v>0</v>
      </c>
      <c r="Z9" s="234">
        <v>-18.18</v>
      </c>
      <c r="AA9" s="42">
        <f t="shared" si="12"/>
        <v>3.75</v>
      </c>
      <c r="AB9" s="47">
        <v>0</v>
      </c>
      <c r="AC9" s="46" t="str">
        <f t="shared" si="13"/>
        <v>0</v>
      </c>
      <c r="AD9" s="13">
        <f>'[1]CAGR, ROCE'!J71</f>
        <v>0.86089655621925698</v>
      </c>
      <c r="AE9" s="48">
        <f t="shared" si="14"/>
        <v>1.125</v>
      </c>
      <c r="AF9" s="22">
        <f>IF(('[1]CAGR, ROCE'!J71-'[1]CAGR, ROCE'!I71)&gt;0,1,0)</f>
        <v>0</v>
      </c>
      <c r="AG9" s="48" t="str">
        <f t="shared" si="15"/>
        <v>0</v>
      </c>
      <c r="AH9" s="12">
        <f>'[1]CAGR, ROCE'!P31</f>
        <v>-0.21128642709758025</v>
      </c>
      <c r="AI9" s="42">
        <f t="shared" si="16"/>
        <v>2.25</v>
      </c>
      <c r="AJ9" s="3">
        <f>IF(('[1]CAGR, ROCE'!P31-'[1]CAGR, ROCE'!O31)&gt;0,1,0)</f>
        <v>0</v>
      </c>
      <c r="AK9" s="39" t="str">
        <f t="shared" si="17"/>
        <v>0</v>
      </c>
      <c r="AL9" s="10">
        <f t="shared" si="18"/>
        <v>30.875</v>
      </c>
    </row>
    <row r="10" spans="1:38">
      <c r="A10" s="45" t="s">
        <v>524</v>
      </c>
      <c r="B10" s="43">
        <v>-7.8</v>
      </c>
      <c r="C10" s="43">
        <f t="shared" si="0"/>
        <v>3.375</v>
      </c>
      <c r="D10" s="39">
        <v>1</v>
      </c>
      <c r="E10" s="39">
        <f t="shared" si="1"/>
        <v>1.5</v>
      </c>
      <c r="F10" s="43">
        <v>-103.8</v>
      </c>
      <c r="G10" s="43">
        <f t="shared" si="2"/>
        <v>3.375</v>
      </c>
      <c r="H10" s="39">
        <v>1</v>
      </c>
      <c r="I10" s="39">
        <f t="shared" si="3"/>
        <v>1.5</v>
      </c>
      <c r="J10" s="46">
        <f>'[1]CAGR, ROCE'!H9</f>
        <v>0.10937929443763283</v>
      </c>
      <c r="K10" s="42">
        <f t="shared" si="4"/>
        <v>5</v>
      </c>
      <c r="L10" s="46">
        <f>'[1]CAGR, ROCE'!F51</f>
        <v>-0.29329455030931945</v>
      </c>
      <c r="M10" s="42">
        <f t="shared" si="5"/>
        <v>2.5</v>
      </c>
      <c r="N10" s="43">
        <v>4.79</v>
      </c>
      <c r="O10" s="43">
        <f t="shared" si="6"/>
        <v>1.125</v>
      </c>
      <c r="P10" s="43">
        <v>0</v>
      </c>
      <c r="Q10" s="43" t="str">
        <f t="shared" si="7"/>
        <v>0</v>
      </c>
      <c r="R10" s="234">
        <v>0.83</v>
      </c>
      <c r="S10" s="42">
        <f t="shared" si="8"/>
        <v>9</v>
      </c>
      <c r="T10" s="47">
        <v>1</v>
      </c>
      <c r="U10" s="46" t="str">
        <f t="shared" si="9"/>
        <v>1</v>
      </c>
      <c r="V10" s="234">
        <v>-4.0999999999999996</v>
      </c>
      <c r="W10" s="42">
        <f t="shared" si="10"/>
        <v>6.75</v>
      </c>
      <c r="X10" s="47">
        <v>1</v>
      </c>
      <c r="Y10" s="46" t="str">
        <f t="shared" si="11"/>
        <v>1,5</v>
      </c>
      <c r="Z10" s="234">
        <v>-5.19</v>
      </c>
      <c r="AA10" s="42">
        <f t="shared" si="12"/>
        <v>3.75</v>
      </c>
      <c r="AB10" s="47">
        <v>1</v>
      </c>
      <c r="AC10" s="46" t="str">
        <f t="shared" si="13"/>
        <v>1,5</v>
      </c>
      <c r="AD10" s="13">
        <f>'[1]CAGR, ROCE'!J72</f>
        <v>0.96063337283565542</v>
      </c>
      <c r="AE10" s="48">
        <f t="shared" si="14"/>
        <v>1.125</v>
      </c>
      <c r="AF10" s="22">
        <f>IF(('[1]CAGR, ROCE'!J72-'[1]CAGR, ROCE'!I72)&gt;0,1,0)</f>
        <v>1</v>
      </c>
      <c r="AG10" s="48" t="str">
        <f t="shared" si="15"/>
        <v>0,5</v>
      </c>
      <c r="AH10" s="12">
        <f>'[1]CAGR, ROCE'!P32</f>
        <v>-0.12102664245880118</v>
      </c>
      <c r="AI10" s="42">
        <f t="shared" si="16"/>
        <v>2.25</v>
      </c>
      <c r="AJ10" s="3">
        <f>IF(('[1]CAGR, ROCE'!P32-'[1]CAGR, ROCE'!O32)&gt;0,1,0)</f>
        <v>0</v>
      </c>
      <c r="AK10" s="39" t="str">
        <f t="shared" si="17"/>
        <v>0</v>
      </c>
      <c r="AL10" s="10">
        <f t="shared" si="18"/>
        <v>45.75</v>
      </c>
    </row>
    <row r="11" spans="1:38">
      <c r="A11" s="45" t="s">
        <v>523</v>
      </c>
      <c r="B11" s="43">
        <v>5.4</v>
      </c>
      <c r="C11" s="43">
        <f t="shared" si="0"/>
        <v>13.5</v>
      </c>
      <c r="D11" s="39">
        <v>1</v>
      </c>
      <c r="E11" s="39">
        <f t="shared" si="1"/>
        <v>1.5</v>
      </c>
      <c r="F11" s="43">
        <v>60.2</v>
      </c>
      <c r="G11" s="43">
        <f t="shared" si="2"/>
        <v>13.5</v>
      </c>
      <c r="H11" s="39">
        <v>0</v>
      </c>
      <c r="I11" s="39" t="str">
        <f t="shared" si="3"/>
        <v>0</v>
      </c>
      <c r="J11" s="46">
        <f>'[1]CAGR, ROCE'!H10</f>
        <v>0.11595568598783523</v>
      </c>
      <c r="K11" s="42">
        <f t="shared" si="4"/>
        <v>5</v>
      </c>
      <c r="L11" s="46">
        <f>'[1]CAGR, ROCE'!F52</f>
        <v>0.42074155197525148</v>
      </c>
      <c r="M11" s="42">
        <f t="shared" si="5"/>
        <v>5</v>
      </c>
      <c r="N11" s="43">
        <v>-52.81</v>
      </c>
      <c r="O11" s="43">
        <f t="shared" si="6"/>
        <v>4.5</v>
      </c>
      <c r="P11" s="43">
        <v>1</v>
      </c>
      <c r="Q11" s="43" t="str">
        <f t="shared" si="7"/>
        <v>0,5</v>
      </c>
      <c r="R11" s="234">
        <v>6.78</v>
      </c>
      <c r="S11" s="42">
        <f t="shared" si="8"/>
        <v>9</v>
      </c>
      <c r="T11" s="47">
        <v>0</v>
      </c>
      <c r="U11" s="46" t="str">
        <f t="shared" si="9"/>
        <v>0</v>
      </c>
      <c r="V11" s="234">
        <v>1.77</v>
      </c>
      <c r="W11" s="42">
        <f t="shared" si="10"/>
        <v>13.5</v>
      </c>
      <c r="X11" s="47">
        <v>0</v>
      </c>
      <c r="Y11" s="46" t="str">
        <f t="shared" si="11"/>
        <v>0</v>
      </c>
      <c r="Z11" s="234">
        <v>1.41</v>
      </c>
      <c r="AA11" s="42">
        <f t="shared" si="12"/>
        <v>15</v>
      </c>
      <c r="AB11" s="47">
        <v>1</v>
      </c>
      <c r="AC11" s="46" t="str">
        <f t="shared" si="13"/>
        <v>1,5</v>
      </c>
      <c r="AD11" s="13">
        <f>'[1]CAGR, ROCE'!J73</f>
        <v>1.0179889380939693</v>
      </c>
      <c r="AE11" s="48">
        <f t="shared" si="14"/>
        <v>3.375</v>
      </c>
      <c r="AF11" s="22">
        <f>IF(('[1]CAGR, ROCE'!J73-'[1]CAGR, ROCE'!I73)&gt;0,1,0)</f>
        <v>0</v>
      </c>
      <c r="AG11" s="48" t="str">
        <f t="shared" si="15"/>
        <v>0</v>
      </c>
      <c r="AH11" s="12">
        <f>'[1]CAGR, ROCE'!P33</f>
        <v>0.1843198030883193</v>
      </c>
      <c r="AI11" s="42">
        <f t="shared" si="16"/>
        <v>9</v>
      </c>
      <c r="AJ11" s="3">
        <f>IF(('[1]CAGR, ROCE'!P33-'[1]CAGR, ROCE'!O33)&gt;0,1,0)</f>
        <v>0</v>
      </c>
      <c r="AK11" s="39" t="str">
        <f t="shared" si="17"/>
        <v>0</v>
      </c>
      <c r="AL11" s="10">
        <f t="shared" si="18"/>
        <v>94.875</v>
      </c>
    </row>
    <row r="12" spans="1:38">
      <c r="A12" s="45" t="s">
        <v>522</v>
      </c>
      <c r="B12" s="43">
        <v>29.7</v>
      </c>
      <c r="C12" s="43">
        <f t="shared" si="0"/>
        <v>13.5</v>
      </c>
      <c r="D12" s="39">
        <v>1</v>
      </c>
      <c r="E12" s="39">
        <f t="shared" si="1"/>
        <v>1.5</v>
      </c>
      <c r="F12" s="43">
        <v>51.4</v>
      </c>
      <c r="G12" s="43">
        <f t="shared" si="2"/>
        <v>13.5</v>
      </c>
      <c r="H12" s="39">
        <v>1</v>
      </c>
      <c r="I12" s="39">
        <f t="shared" si="3"/>
        <v>1.5</v>
      </c>
      <c r="J12" s="46">
        <f>'[1]CAGR, ROCE'!H11</f>
        <v>1.3062804964702579E-2</v>
      </c>
      <c r="K12" s="42">
        <f t="shared" si="4"/>
        <v>1.25</v>
      </c>
      <c r="L12" s="46">
        <f>'[1]CAGR, ROCE'!F53</f>
        <v>0.33050958922662405</v>
      </c>
      <c r="M12" s="42">
        <f t="shared" si="5"/>
        <v>5</v>
      </c>
      <c r="N12" s="43">
        <v>38.619999999999997</v>
      </c>
      <c r="O12" s="43">
        <f t="shared" si="6"/>
        <v>3.375</v>
      </c>
      <c r="P12" s="43">
        <v>0</v>
      </c>
      <c r="Q12" s="43" t="str">
        <f t="shared" si="7"/>
        <v>0</v>
      </c>
      <c r="R12" s="234">
        <v>10.58</v>
      </c>
      <c r="S12" s="42">
        <f t="shared" si="8"/>
        <v>9</v>
      </c>
      <c r="T12" s="47">
        <v>1</v>
      </c>
      <c r="U12" s="46" t="str">
        <f t="shared" si="9"/>
        <v>1</v>
      </c>
      <c r="V12" s="234">
        <v>7.66</v>
      </c>
      <c r="W12" s="42">
        <f t="shared" si="10"/>
        <v>13.5</v>
      </c>
      <c r="X12" s="47">
        <v>1</v>
      </c>
      <c r="Y12" s="46" t="str">
        <f t="shared" si="11"/>
        <v>1,5</v>
      </c>
      <c r="Z12" s="234">
        <v>6.27</v>
      </c>
      <c r="AA12" s="42">
        <f t="shared" si="12"/>
        <v>15</v>
      </c>
      <c r="AB12" s="47">
        <v>1</v>
      </c>
      <c r="AC12" s="46" t="str">
        <f t="shared" si="13"/>
        <v>1,5</v>
      </c>
      <c r="AD12" s="13">
        <f>'[1]CAGR, ROCE'!J74</f>
        <v>1.0829782029405881</v>
      </c>
      <c r="AE12" s="48">
        <f t="shared" si="14"/>
        <v>4.5</v>
      </c>
      <c r="AF12" s="22">
        <f>IF(('[1]CAGR, ROCE'!J74-'[1]CAGR, ROCE'!I74)&gt;0,1,0)</f>
        <v>1</v>
      </c>
      <c r="AG12" s="48" t="str">
        <f t="shared" si="15"/>
        <v>0,5</v>
      </c>
      <c r="AH12" s="12">
        <f>'[1]CAGR, ROCE'!P34</f>
        <v>0.47097591759930152</v>
      </c>
      <c r="AI12" s="42">
        <f t="shared" si="16"/>
        <v>9</v>
      </c>
      <c r="AJ12" s="3">
        <f>IF(('[1]CAGR, ROCE'!P34-'[1]CAGR, ROCE'!O34)&gt;0,1,0)</f>
        <v>1</v>
      </c>
      <c r="AK12" s="39" t="str">
        <f t="shared" si="17"/>
        <v>1</v>
      </c>
      <c r="AL12" s="10">
        <f t="shared" si="18"/>
        <v>96.125</v>
      </c>
    </row>
    <row r="13" spans="1:38">
      <c r="A13" s="45" t="s">
        <v>521</v>
      </c>
      <c r="B13" s="43">
        <v>-21.9</v>
      </c>
      <c r="C13" s="43">
        <f t="shared" si="0"/>
        <v>3.375</v>
      </c>
      <c r="D13" s="39">
        <v>0</v>
      </c>
      <c r="E13" s="39" t="str">
        <f t="shared" si="1"/>
        <v>0</v>
      </c>
      <c r="F13" s="232">
        <v>-1439.7</v>
      </c>
      <c r="G13" s="43">
        <f t="shared" si="2"/>
        <v>3.375</v>
      </c>
      <c r="H13" s="39">
        <v>0</v>
      </c>
      <c r="I13" s="39" t="str">
        <f t="shared" si="3"/>
        <v>0</v>
      </c>
      <c r="J13" s="46">
        <f>'[1]CAGR, ROCE'!H12</f>
        <v>-1.6415529319092292E-2</v>
      </c>
      <c r="K13" s="42">
        <f t="shared" si="4"/>
        <v>1.25</v>
      </c>
      <c r="L13" s="46">
        <f>'[1]CAGR, ROCE'!F54</f>
        <v>0.76596226365207731</v>
      </c>
      <c r="M13" s="42">
        <f t="shared" si="5"/>
        <v>5</v>
      </c>
      <c r="N13" s="43">
        <v>3.21</v>
      </c>
      <c r="O13" s="43">
        <f t="shared" si="6"/>
        <v>3.375</v>
      </c>
      <c r="P13" s="43">
        <v>1</v>
      </c>
      <c r="Q13" s="43" t="str">
        <f t="shared" si="7"/>
        <v>0,5</v>
      </c>
      <c r="R13" s="234">
        <v>-2.98</v>
      </c>
      <c r="S13" s="42">
        <f t="shared" si="8"/>
        <v>4.5</v>
      </c>
      <c r="T13" s="47">
        <v>0</v>
      </c>
      <c r="U13" s="46" t="str">
        <f t="shared" si="9"/>
        <v>0</v>
      </c>
      <c r="V13" s="234">
        <v>-12.02</v>
      </c>
      <c r="W13" s="42">
        <f t="shared" si="10"/>
        <v>3.375</v>
      </c>
      <c r="X13" s="47">
        <v>0</v>
      </c>
      <c r="Y13" s="46" t="str">
        <f t="shared" si="11"/>
        <v>0</v>
      </c>
      <c r="Z13" s="234">
        <v>-7.19</v>
      </c>
      <c r="AA13" s="42">
        <f t="shared" si="12"/>
        <v>3.75</v>
      </c>
      <c r="AB13" s="47">
        <v>0</v>
      </c>
      <c r="AC13" s="46" t="str">
        <f t="shared" si="13"/>
        <v>0</v>
      </c>
      <c r="AD13" s="13">
        <f>'[1]CAGR, ROCE'!J75</f>
        <v>0.89268316410657278</v>
      </c>
      <c r="AE13" s="48">
        <f t="shared" si="14"/>
        <v>1.125</v>
      </c>
      <c r="AF13" s="22">
        <f>IF(('[1]CAGR, ROCE'!J75-'[1]CAGR, ROCE'!I75)&gt;0,1,0)</f>
        <v>0</v>
      </c>
      <c r="AG13" s="48" t="str">
        <f t="shared" si="15"/>
        <v>0</v>
      </c>
      <c r="AH13" s="12">
        <f>'[1]CAGR, ROCE'!P35</f>
        <v>-1.9646041942970822</v>
      </c>
      <c r="AI13" s="42">
        <f t="shared" si="16"/>
        <v>2.25</v>
      </c>
      <c r="AJ13" s="3">
        <f>IF(('[1]CAGR, ROCE'!P35-'[1]CAGR, ROCE'!O35)&gt;0,1,0)</f>
        <v>0</v>
      </c>
      <c r="AK13" s="39" t="str">
        <f t="shared" si="17"/>
        <v>0</v>
      </c>
      <c r="AL13" s="10">
        <f t="shared" si="18"/>
        <v>31.875</v>
      </c>
    </row>
    <row r="14" spans="1:38">
      <c r="A14" s="45" t="s">
        <v>520</v>
      </c>
      <c r="B14" s="43">
        <v>13.2</v>
      </c>
      <c r="C14" s="43">
        <f t="shared" si="0"/>
        <v>13.5</v>
      </c>
      <c r="D14" s="39">
        <v>1</v>
      </c>
      <c r="E14" s="39">
        <f t="shared" si="1"/>
        <v>1.5</v>
      </c>
      <c r="F14" s="43">
        <v>78.400000000000006</v>
      </c>
      <c r="G14" s="43">
        <f t="shared" si="2"/>
        <v>13.5</v>
      </c>
      <c r="H14" s="39">
        <v>1</v>
      </c>
      <c r="I14" s="39">
        <f t="shared" si="3"/>
        <v>1.5</v>
      </c>
      <c r="J14" s="46">
        <f>'[1]CAGR, ROCE'!H13</f>
        <v>2.0718219082570988E-2</v>
      </c>
      <c r="K14" s="42">
        <f t="shared" si="4"/>
        <v>2.5</v>
      </c>
      <c r="L14" s="46">
        <f>'[1]CAGR, ROCE'!F55</f>
        <v>6.0332809504424496E-2</v>
      </c>
      <c r="M14" s="42">
        <f t="shared" si="5"/>
        <v>3.75</v>
      </c>
      <c r="N14" s="43">
        <v>4.9400000000000004</v>
      </c>
      <c r="O14" s="43">
        <f t="shared" si="6"/>
        <v>2.25</v>
      </c>
      <c r="P14" s="43">
        <v>0</v>
      </c>
      <c r="Q14" s="43" t="str">
        <f t="shared" si="7"/>
        <v>0</v>
      </c>
      <c r="R14" s="234">
        <v>6.67</v>
      </c>
      <c r="S14" s="42">
        <f t="shared" si="8"/>
        <v>9</v>
      </c>
      <c r="T14" s="47">
        <v>0</v>
      </c>
      <c r="U14" s="46" t="str">
        <f t="shared" si="9"/>
        <v>0</v>
      </c>
      <c r="V14" s="234">
        <v>4.7699999999999996</v>
      </c>
      <c r="W14" s="42">
        <f t="shared" si="10"/>
        <v>13.5</v>
      </c>
      <c r="X14" s="47">
        <v>0</v>
      </c>
      <c r="Y14" s="46" t="str">
        <f t="shared" si="11"/>
        <v>0</v>
      </c>
      <c r="Z14" s="234">
        <v>4.16</v>
      </c>
      <c r="AA14" s="42">
        <f t="shared" si="12"/>
        <v>15</v>
      </c>
      <c r="AB14" s="47">
        <v>1</v>
      </c>
      <c r="AC14" s="46" t="str">
        <f t="shared" si="13"/>
        <v>1,5</v>
      </c>
      <c r="AD14" s="13">
        <f>'[1]CAGR, ROCE'!J76</f>
        <v>1.0500504003142301</v>
      </c>
      <c r="AE14" s="48">
        <f t="shared" si="14"/>
        <v>4.5</v>
      </c>
      <c r="AF14" s="22">
        <f>IF(('[1]CAGR, ROCE'!J76-'[1]CAGR, ROCE'!I76)&gt;0,1,0)</f>
        <v>0</v>
      </c>
      <c r="AG14" s="48" t="str">
        <f t="shared" si="15"/>
        <v>0</v>
      </c>
      <c r="AH14" s="12">
        <f>'[1]CAGR, ROCE'!P36</f>
        <v>0.31645497274463175</v>
      </c>
      <c r="AI14" s="42">
        <f t="shared" si="16"/>
        <v>9</v>
      </c>
      <c r="AJ14" s="3">
        <f>IF(('[1]CAGR, ROCE'!P36-'[1]CAGR, ROCE'!O36)&gt;0,1,0)</f>
        <v>1</v>
      </c>
      <c r="AK14" s="39" t="str">
        <f t="shared" si="17"/>
        <v>1</v>
      </c>
      <c r="AL14" s="10">
        <f t="shared" si="18"/>
        <v>92</v>
      </c>
    </row>
    <row r="15" spans="1:38">
      <c r="A15" s="45" t="s">
        <v>519</v>
      </c>
      <c r="B15" s="43">
        <v>4.2</v>
      </c>
      <c r="C15" s="43">
        <f t="shared" si="0"/>
        <v>10.125</v>
      </c>
      <c r="D15" s="39">
        <v>0</v>
      </c>
      <c r="E15" s="39" t="str">
        <f t="shared" si="1"/>
        <v>0</v>
      </c>
      <c r="F15" s="43">
        <v>19.5</v>
      </c>
      <c r="G15" s="43">
        <f t="shared" si="2"/>
        <v>10.125</v>
      </c>
      <c r="H15" s="39">
        <v>1</v>
      </c>
      <c r="I15" s="39">
        <f t="shared" si="3"/>
        <v>1.5</v>
      </c>
      <c r="J15" s="46">
        <f>'[1]CAGR, ROCE'!H14</f>
        <v>-1.916179582153088E-2</v>
      </c>
      <c r="K15" s="42">
        <f t="shared" si="4"/>
        <v>1.25</v>
      </c>
      <c r="L15" s="46">
        <f>'[1]CAGR, ROCE'!F56</f>
        <v>3.3467083598527826E-2</v>
      </c>
      <c r="M15" s="42">
        <f t="shared" si="5"/>
        <v>3.75</v>
      </c>
      <c r="N15" s="43">
        <v>-8.16</v>
      </c>
      <c r="O15" s="43">
        <f t="shared" si="6"/>
        <v>4.5</v>
      </c>
      <c r="P15" s="43">
        <v>1</v>
      </c>
      <c r="Q15" s="43" t="str">
        <f t="shared" si="7"/>
        <v>0,5</v>
      </c>
      <c r="R15" s="234">
        <v>5.36</v>
      </c>
      <c r="S15" s="42">
        <f t="shared" si="8"/>
        <v>9</v>
      </c>
      <c r="T15" s="47">
        <v>1</v>
      </c>
      <c r="U15" s="46" t="str">
        <f t="shared" si="9"/>
        <v>1</v>
      </c>
      <c r="V15" s="234">
        <v>3.19</v>
      </c>
      <c r="W15" s="42">
        <f t="shared" si="10"/>
        <v>13.5</v>
      </c>
      <c r="X15" s="47">
        <v>1</v>
      </c>
      <c r="Y15" s="46" t="str">
        <f t="shared" si="11"/>
        <v>1,5</v>
      </c>
      <c r="Z15" s="234">
        <v>1.69</v>
      </c>
      <c r="AA15" s="42">
        <f t="shared" si="12"/>
        <v>15</v>
      </c>
      <c r="AB15" s="47">
        <v>1</v>
      </c>
      <c r="AC15" s="46" t="str">
        <f t="shared" si="13"/>
        <v>1,5</v>
      </c>
      <c r="AD15" s="13">
        <f>'[1]CAGR, ROCE'!J77</f>
        <v>1.0329199741836479</v>
      </c>
      <c r="AE15" s="48">
        <f t="shared" si="14"/>
        <v>3.375</v>
      </c>
      <c r="AF15" s="22">
        <f>IF(('[1]CAGR, ROCE'!J77-'[1]CAGR, ROCE'!I77)&gt;0,1,0)</f>
        <v>0</v>
      </c>
      <c r="AG15" s="48" t="str">
        <f t="shared" si="15"/>
        <v>0</v>
      </c>
      <c r="AH15" s="12">
        <f>'[1]CAGR, ROCE'!P37</f>
        <v>6.9430037651271329E-2</v>
      </c>
      <c r="AI15" s="42">
        <f t="shared" si="16"/>
        <v>4.5</v>
      </c>
      <c r="AJ15" s="3">
        <f>IF(('[1]CAGR, ROCE'!P37-'[1]CAGR, ROCE'!O37)&gt;0,1,0)</f>
        <v>0</v>
      </c>
      <c r="AK15" s="39" t="str">
        <f t="shared" si="17"/>
        <v>0</v>
      </c>
      <c r="AL15" s="10">
        <f t="shared" si="18"/>
        <v>81.125</v>
      </c>
    </row>
    <row r="16" spans="1:38">
      <c r="A16" s="45" t="s">
        <v>518</v>
      </c>
      <c r="B16" s="43">
        <v>0.8</v>
      </c>
      <c r="C16" s="43">
        <f t="shared" si="0"/>
        <v>10.125</v>
      </c>
      <c r="D16" s="39">
        <v>0</v>
      </c>
      <c r="E16" s="39" t="str">
        <f t="shared" si="1"/>
        <v>0</v>
      </c>
      <c r="F16" s="43">
        <v>-5</v>
      </c>
      <c r="G16" s="43">
        <f t="shared" si="2"/>
        <v>3.375</v>
      </c>
      <c r="H16" s="39">
        <v>0</v>
      </c>
      <c r="I16" s="39" t="str">
        <f t="shared" si="3"/>
        <v>0</v>
      </c>
      <c r="J16" s="46">
        <f>'[1]CAGR, ROCE'!H15</f>
        <v>-0.1015301218002298</v>
      </c>
      <c r="K16" s="42">
        <f t="shared" si="4"/>
        <v>1.25</v>
      </c>
      <c r="L16" s="46">
        <f>'[1]CAGR, ROCE'!F57</f>
        <v>-0.29691988885225828</v>
      </c>
      <c r="M16" s="42">
        <f t="shared" si="5"/>
        <v>2.5</v>
      </c>
      <c r="N16" s="43">
        <v>90.23</v>
      </c>
      <c r="O16" s="43">
        <f t="shared" si="6"/>
        <v>4.5</v>
      </c>
      <c r="P16" s="43">
        <v>0</v>
      </c>
      <c r="Q16" s="43" t="str">
        <f t="shared" si="7"/>
        <v>0</v>
      </c>
      <c r="R16" s="234">
        <v>1.1000000000000001</v>
      </c>
      <c r="S16" s="42">
        <f t="shared" si="8"/>
        <v>9</v>
      </c>
      <c r="T16" s="47">
        <v>1</v>
      </c>
      <c r="U16" s="46" t="str">
        <f t="shared" si="9"/>
        <v>1</v>
      </c>
      <c r="V16" s="234">
        <v>0.9</v>
      </c>
      <c r="W16" s="42">
        <f t="shared" si="10"/>
        <v>13.5</v>
      </c>
      <c r="X16" s="47">
        <v>0</v>
      </c>
      <c r="Y16" s="46" t="str">
        <f t="shared" si="11"/>
        <v>0</v>
      </c>
      <c r="Z16" s="234">
        <v>0.74</v>
      </c>
      <c r="AA16" s="42">
        <f t="shared" si="12"/>
        <v>15</v>
      </c>
      <c r="AB16" s="47">
        <v>0</v>
      </c>
      <c r="AC16" s="46" t="str">
        <f t="shared" si="13"/>
        <v>0</v>
      </c>
      <c r="AD16" s="13">
        <f>'[1]CAGR, ROCE'!J78</f>
        <v>1.0090396700673847</v>
      </c>
      <c r="AE16" s="48">
        <f t="shared" si="14"/>
        <v>2.25</v>
      </c>
      <c r="AF16" s="22">
        <f>IF(('[1]CAGR, ROCE'!J78-'[1]CAGR, ROCE'!I78)&gt;0,1,0)</f>
        <v>0</v>
      </c>
      <c r="AG16" s="48" t="str">
        <f t="shared" si="15"/>
        <v>0</v>
      </c>
      <c r="AH16" s="12">
        <f>'[1]CAGR, ROCE'!P38</f>
        <v>3.4876973162678654E-2</v>
      </c>
      <c r="AI16" s="42">
        <f t="shared" si="16"/>
        <v>4.5</v>
      </c>
      <c r="AJ16" s="3">
        <f>IF(('[1]CAGR, ROCE'!P38-'[1]CAGR, ROCE'!O38)&gt;0,1,0)</f>
        <v>1</v>
      </c>
      <c r="AK16" s="39" t="str">
        <f t="shared" si="17"/>
        <v>1</v>
      </c>
      <c r="AL16" s="10">
        <f t="shared" si="18"/>
        <v>68</v>
      </c>
    </row>
    <row r="17" spans="1:38">
      <c r="A17" s="45" t="s">
        <v>517</v>
      </c>
      <c r="B17" s="43">
        <v>2.9</v>
      </c>
      <c r="C17" s="43">
        <f t="shared" si="0"/>
        <v>10.125</v>
      </c>
      <c r="D17" s="39">
        <v>1</v>
      </c>
      <c r="E17" s="39">
        <f t="shared" si="1"/>
        <v>1.5</v>
      </c>
      <c r="F17" s="43">
        <v>-94.9</v>
      </c>
      <c r="G17" s="43">
        <f t="shared" si="2"/>
        <v>3.375</v>
      </c>
      <c r="H17" s="39">
        <v>0</v>
      </c>
      <c r="I17" s="39" t="str">
        <f t="shared" si="3"/>
        <v>0</v>
      </c>
      <c r="J17" s="46">
        <f>'[1]CAGR, ROCE'!H16</f>
        <v>0.36202438059025788</v>
      </c>
      <c r="K17" s="42">
        <f t="shared" si="4"/>
        <v>5</v>
      </c>
      <c r="L17" s="46">
        <f>'[1]CAGR, ROCE'!F58</f>
        <v>-1.4201208775519916</v>
      </c>
      <c r="M17" s="42">
        <f t="shared" si="5"/>
        <v>1.25</v>
      </c>
      <c r="N17" s="43">
        <v>38.65</v>
      </c>
      <c r="O17" s="43">
        <f t="shared" si="6"/>
        <v>4.5</v>
      </c>
      <c r="P17" s="43">
        <v>0</v>
      </c>
      <c r="Q17" s="43" t="str">
        <f t="shared" si="7"/>
        <v>0</v>
      </c>
      <c r="R17" s="234">
        <v>5.37</v>
      </c>
      <c r="S17" s="42">
        <f t="shared" si="8"/>
        <v>9</v>
      </c>
      <c r="T17" s="47">
        <v>1</v>
      </c>
      <c r="U17" s="46" t="str">
        <f t="shared" si="9"/>
        <v>1</v>
      </c>
      <c r="V17" s="234">
        <v>1.88</v>
      </c>
      <c r="W17" s="42">
        <f t="shared" si="10"/>
        <v>13.5</v>
      </c>
      <c r="X17" s="47">
        <v>1</v>
      </c>
      <c r="Y17" s="46" t="str">
        <f t="shared" si="11"/>
        <v>1,5</v>
      </c>
      <c r="Z17" s="234">
        <v>1.07</v>
      </c>
      <c r="AA17" s="42">
        <f t="shared" si="12"/>
        <v>15</v>
      </c>
      <c r="AB17" s="47">
        <v>1</v>
      </c>
      <c r="AC17" s="46" t="str">
        <f t="shared" si="13"/>
        <v>1,5</v>
      </c>
      <c r="AD17" s="13">
        <f>'[1]CAGR, ROCE'!J79</f>
        <v>1.0191955420997825</v>
      </c>
      <c r="AE17" s="48">
        <f t="shared" si="14"/>
        <v>3.375</v>
      </c>
      <c r="AF17" s="22">
        <f>IF(('[1]CAGR, ROCE'!J79-'[1]CAGR, ROCE'!I79)&gt;0,1,0)</f>
        <v>1</v>
      </c>
      <c r="AG17" s="48" t="str">
        <f t="shared" si="15"/>
        <v>0,5</v>
      </c>
      <c r="AH17" s="12">
        <f>'[1]CAGR, ROCE'!P39</f>
        <v>0.28455152621575125</v>
      </c>
      <c r="AI17" s="42">
        <f t="shared" si="16"/>
        <v>9</v>
      </c>
      <c r="AJ17" s="3">
        <f>IF(('[1]CAGR, ROCE'!P39-'[1]CAGR, ROCE'!O39)&gt;0,1,0)</f>
        <v>1</v>
      </c>
      <c r="AK17" s="39" t="str">
        <f t="shared" si="17"/>
        <v>1</v>
      </c>
      <c r="AL17" s="10">
        <f t="shared" si="18"/>
        <v>81.125</v>
      </c>
    </row>
    <row r="18" spans="1:38">
      <c r="A18" s="45" t="s">
        <v>516</v>
      </c>
      <c r="B18" s="43">
        <v>0.8</v>
      </c>
      <c r="C18" s="43">
        <f t="shared" si="0"/>
        <v>10.125</v>
      </c>
      <c r="D18" s="39">
        <v>0</v>
      </c>
      <c r="E18" s="39" t="str">
        <f t="shared" si="1"/>
        <v>0</v>
      </c>
      <c r="F18" s="43">
        <v>0.2</v>
      </c>
      <c r="G18" s="43">
        <f t="shared" si="2"/>
        <v>6.75</v>
      </c>
      <c r="H18" s="39">
        <v>0</v>
      </c>
      <c r="I18" s="39" t="str">
        <f t="shared" si="3"/>
        <v>0</v>
      </c>
      <c r="J18" s="46">
        <f>'[1]CAGR, ROCE'!H17</f>
        <v>2.3839304058924871E-2</v>
      </c>
      <c r="K18" s="42">
        <f t="shared" si="4"/>
        <v>2.5</v>
      </c>
      <c r="L18" s="46">
        <f>'[1]CAGR, ROCE'!F59</f>
        <v>-0.96722829649098208</v>
      </c>
      <c r="M18" s="42">
        <f t="shared" si="5"/>
        <v>1.25</v>
      </c>
      <c r="N18" s="43">
        <v>98.93</v>
      </c>
      <c r="O18" s="43">
        <f t="shared" si="6"/>
        <v>3.375</v>
      </c>
      <c r="P18" s="43">
        <v>0</v>
      </c>
      <c r="Q18" s="43" t="str">
        <f t="shared" si="7"/>
        <v>0</v>
      </c>
      <c r="R18" s="234">
        <v>4.58</v>
      </c>
      <c r="S18" s="42">
        <f t="shared" si="8"/>
        <v>9</v>
      </c>
      <c r="T18" s="47">
        <v>0</v>
      </c>
      <c r="U18" s="46" t="str">
        <f t="shared" si="9"/>
        <v>0</v>
      </c>
      <c r="V18" s="234">
        <v>-0.08</v>
      </c>
      <c r="W18" s="42">
        <f t="shared" si="10"/>
        <v>6.75</v>
      </c>
      <c r="X18" s="47">
        <v>0</v>
      </c>
      <c r="Y18" s="46" t="str">
        <f t="shared" si="11"/>
        <v>0</v>
      </c>
      <c r="Z18" s="234">
        <v>0.15</v>
      </c>
      <c r="AA18" s="42">
        <f t="shared" si="12"/>
        <v>15</v>
      </c>
      <c r="AB18" s="47">
        <v>0</v>
      </c>
      <c r="AC18" s="46" t="str">
        <f t="shared" si="13"/>
        <v>0</v>
      </c>
      <c r="AD18" s="13">
        <f>'[1]CAGR, ROCE'!J80</f>
        <v>0.99919268358473767</v>
      </c>
      <c r="AE18" s="48">
        <f t="shared" si="14"/>
        <v>2.25</v>
      </c>
      <c r="AF18" s="22">
        <f>IF(('[1]CAGR, ROCE'!J80-'[1]CAGR, ROCE'!I80)&gt;0,1,0)</f>
        <v>0</v>
      </c>
      <c r="AG18" s="48" t="str">
        <f t="shared" si="15"/>
        <v>0</v>
      </c>
      <c r="AH18" s="12">
        <f>'[1]CAGR, ROCE'!P40</f>
        <v>1.2015256027457909E-2</v>
      </c>
      <c r="AI18" s="42">
        <f t="shared" si="16"/>
        <v>4.5</v>
      </c>
      <c r="AJ18" s="3">
        <f>IF(('[1]CAGR, ROCE'!P40-'[1]CAGR, ROCE'!O40)&gt;0,1,0)</f>
        <v>0</v>
      </c>
      <c r="AK18" s="39" t="str">
        <f t="shared" si="17"/>
        <v>0</v>
      </c>
      <c r="AL18" s="10">
        <f t="shared" si="18"/>
        <v>61.5</v>
      </c>
    </row>
    <row r="20" spans="1:38" ht="18.75">
      <c r="A20" s="17" t="s">
        <v>60</v>
      </c>
      <c r="B20" s="17" t="s">
        <v>59</v>
      </c>
      <c r="C20" s="17"/>
      <c r="D20" s="17"/>
      <c r="E20" s="17"/>
      <c r="F20" s="17" t="s">
        <v>58</v>
      </c>
      <c r="G20" s="17"/>
      <c r="H20" s="16"/>
      <c r="I20" s="16"/>
      <c r="J20" s="16"/>
      <c r="K20" s="16"/>
      <c r="L20" s="16" t="s">
        <v>57</v>
      </c>
      <c r="M20" s="16"/>
    </row>
    <row r="21" spans="1:38" ht="17.25">
      <c r="A21" s="11" t="s">
        <v>56</v>
      </c>
      <c r="B21" s="9">
        <v>13.5</v>
      </c>
      <c r="C21" s="9"/>
      <c r="D21" s="10"/>
      <c r="E21" s="10"/>
      <c r="F21" s="9">
        <v>1.5</v>
      </c>
      <c r="G21" s="9"/>
      <c r="H21" s="8"/>
      <c r="I21" s="8"/>
      <c r="J21" s="8"/>
      <c r="K21" s="8"/>
      <c r="L21" s="9">
        <f>B21+F21</f>
        <v>15</v>
      </c>
      <c r="M21" s="9"/>
    </row>
    <row r="22" spans="1:38">
      <c r="A22" t="s">
        <v>572</v>
      </c>
      <c r="B22" s="3">
        <f>B21*0.25</f>
        <v>3.375</v>
      </c>
      <c r="C22" s="3"/>
      <c r="D22" s="3"/>
      <c r="E22" s="3"/>
      <c r="F22" s="3" t="s">
        <v>7</v>
      </c>
      <c r="G22" s="3"/>
      <c r="H22">
        <v>1.5</v>
      </c>
    </row>
    <row r="23" spans="1:38">
      <c r="A23" t="s">
        <v>571</v>
      </c>
      <c r="B23" s="3">
        <f>B21*0.5</f>
        <v>6.75</v>
      </c>
      <c r="C23" s="3"/>
      <c r="D23" s="3"/>
      <c r="E23" s="3"/>
      <c r="F23" s="3" t="s">
        <v>4</v>
      </c>
      <c r="G23" s="3"/>
      <c r="H23">
        <v>0</v>
      </c>
    </row>
    <row r="24" spans="1:38">
      <c r="A24" t="s">
        <v>570</v>
      </c>
      <c r="B24" s="3">
        <f>B21*0.75</f>
        <v>10.125</v>
      </c>
      <c r="C24" s="3"/>
      <c r="D24" s="3"/>
      <c r="E24" s="3"/>
      <c r="F24" s="3"/>
      <c r="G24" s="3"/>
    </row>
    <row r="25" spans="1:38">
      <c r="A25" t="s">
        <v>569</v>
      </c>
      <c r="B25" s="3">
        <f>B21*1</f>
        <v>13.5</v>
      </c>
      <c r="C25" s="3"/>
      <c r="D25" s="3"/>
      <c r="E25" s="3"/>
      <c r="F25" s="3"/>
      <c r="G25" s="3"/>
    </row>
    <row r="26" spans="1:38">
      <c r="B26" s="3"/>
      <c r="C26" s="3"/>
      <c r="D26" s="3"/>
      <c r="E26" s="3"/>
      <c r="F26" s="3"/>
      <c r="G26" s="3"/>
    </row>
    <row r="27" spans="1:38" ht="17.25">
      <c r="A27" s="11" t="s">
        <v>51</v>
      </c>
      <c r="B27" s="228">
        <v>13.5</v>
      </c>
      <c r="C27" s="3"/>
      <c r="D27" s="3"/>
      <c r="E27" s="3"/>
      <c r="F27" s="3"/>
      <c r="G27" s="3"/>
    </row>
    <row r="28" spans="1:38">
      <c r="A28" t="s">
        <v>568</v>
      </c>
      <c r="B28" s="227">
        <v>3.375</v>
      </c>
      <c r="C28" s="9"/>
      <c r="D28" s="10"/>
      <c r="E28" s="10"/>
      <c r="F28" s="9">
        <v>1.5</v>
      </c>
      <c r="G28" s="9"/>
      <c r="H28" s="8"/>
      <c r="I28" s="8"/>
      <c r="J28" s="8"/>
      <c r="K28" s="8"/>
      <c r="L28" s="9">
        <f>F28+B27</f>
        <v>15</v>
      </c>
      <c r="M28" s="9"/>
    </row>
    <row r="29" spans="1:38">
      <c r="A29" t="s">
        <v>567</v>
      </c>
      <c r="B29" s="3">
        <v>6.75</v>
      </c>
      <c r="C29" s="3"/>
      <c r="D29" s="3"/>
      <c r="E29" s="3"/>
      <c r="F29" s="3" t="s">
        <v>7</v>
      </c>
      <c r="G29" s="3"/>
      <c r="H29">
        <v>1.5</v>
      </c>
    </row>
    <row r="30" spans="1:38">
      <c r="A30" t="s">
        <v>566</v>
      </c>
      <c r="B30" s="3">
        <v>10.125</v>
      </c>
      <c r="C30" s="3"/>
      <c r="D30" s="3"/>
      <c r="E30" s="3"/>
      <c r="F30" s="3" t="s">
        <v>4</v>
      </c>
      <c r="G30" s="3"/>
      <c r="H30">
        <v>0</v>
      </c>
    </row>
    <row r="31" spans="1:38">
      <c r="A31" t="s">
        <v>565</v>
      </c>
      <c r="B31" s="3">
        <v>13.5</v>
      </c>
      <c r="C31" s="3"/>
      <c r="D31" s="3"/>
      <c r="E31" s="3"/>
      <c r="F31" s="3"/>
      <c r="G31" s="3"/>
    </row>
    <row r="32" spans="1:38">
      <c r="B32" s="3"/>
      <c r="C32" s="3"/>
      <c r="D32" s="3"/>
      <c r="E32" s="3"/>
      <c r="F32" s="3"/>
      <c r="G32" s="3"/>
    </row>
    <row r="33" spans="1:13">
      <c r="B33" s="3"/>
      <c r="C33" s="3"/>
      <c r="D33" s="3"/>
      <c r="E33" s="3"/>
      <c r="F33" s="3"/>
      <c r="G33" s="3"/>
    </row>
    <row r="34" spans="1:13" ht="17.25">
      <c r="A34" s="11" t="s">
        <v>46</v>
      </c>
      <c r="B34" s="5">
        <v>5</v>
      </c>
      <c r="C34" s="5"/>
      <c r="D34" s="3"/>
      <c r="E34" s="3"/>
      <c r="F34" s="3"/>
      <c r="G34" s="3"/>
      <c r="L34" s="2">
        <f>B34</f>
        <v>5</v>
      </c>
      <c r="M34" s="2"/>
    </row>
    <row r="35" spans="1:13">
      <c r="A35" t="s">
        <v>605</v>
      </c>
      <c r="B35" s="3">
        <f>B34*0.25</f>
        <v>1.25</v>
      </c>
      <c r="C35" s="3"/>
      <c r="D35" s="4">
        <f>QUARTILE(J4:J18,1)</f>
        <v>1.5441721760893978E-2</v>
      </c>
      <c r="E35" s="3" t="s">
        <v>8</v>
      </c>
      <c r="F35" s="3"/>
      <c r="G35" s="3"/>
    </row>
    <row r="36" spans="1:13">
      <c r="A36" t="s">
        <v>604</v>
      </c>
      <c r="B36" s="3">
        <f>B34*0.5</f>
        <v>2.5</v>
      </c>
      <c r="C36" s="3"/>
      <c r="D36" s="4">
        <f>QUARTILE(J4:J18,2)</f>
        <v>3.2404325651384402E-2</v>
      </c>
      <c r="E36" s="3" t="s">
        <v>5</v>
      </c>
      <c r="F36" s="3"/>
      <c r="G36" s="3"/>
    </row>
    <row r="37" spans="1:13">
      <c r="A37" t="s">
        <v>603</v>
      </c>
      <c r="B37" s="3">
        <f>B34*0.75</f>
        <v>3.75</v>
      </c>
      <c r="C37" s="3"/>
      <c r="D37" s="4">
        <f>QUARTILE(J4:J18,3)</f>
        <v>8.9083395392324127E-2</v>
      </c>
      <c r="E37" s="3" t="s">
        <v>2</v>
      </c>
      <c r="F37" s="3"/>
      <c r="G37" s="3"/>
    </row>
    <row r="38" spans="1:13">
      <c r="A38" t="s">
        <v>602</v>
      </c>
      <c r="B38" s="3">
        <f>B34*1</f>
        <v>5</v>
      </c>
      <c r="C38" s="3"/>
      <c r="D38" s="3"/>
      <c r="E38" s="3"/>
      <c r="F38" s="3"/>
      <c r="G38" s="3"/>
    </row>
    <row r="39" spans="1:13">
      <c r="B39" s="3"/>
      <c r="C39" s="3"/>
      <c r="D39" s="3"/>
      <c r="E39" s="3"/>
      <c r="F39" s="3"/>
      <c r="G39" s="3"/>
    </row>
    <row r="40" spans="1:13" ht="17.25">
      <c r="A40" s="11" t="s">
        <v>41</v>
      </c>
      <c r="B40" s="5">
        <v>5</v>
      </c>
      <c r="C40" s="5"/>
      <c r="D40" s="3"/>
      <c r="E40" s="3"/>
      <c r="F40" s="3"/>
      <c r="G40" s="3"/>
      <c r="L40" s="2">
        <f>B40</f>
        <v>5</v>
      </c>
      <c r="M40" s="2"/>
    </row>
    <row r="41" spans="1:13">
      <c r="A41" t="s">
        <v>601</v>
      </c>
      <c r="B41" s="3">
        <f>B40*0.25</f>
        <v>1.25</v>
      </c>
      <c r="C41" s="3"/>
      <c r="D41" s="54">
        <f>QUARTILE(L4:L18,1)</f>
        <v>-0.35201729331628612</v>
      </c>
      <c r="E41" s="3" t="s">
        <v>8</v>
      </c>
      <c r="F41" s="3"/>
      <c r="G41" s="3"/>
    </row>
    <row r="42" spans="1:13">
      <c r="A42" t="s">
        <v>600</v>
      </c>
      <c r="B42" s="3">
        <f>B40*0.5</f>
        <v>2.5</v>
      </c>
      <c r="C42" s="3"/>
      <c r="D42" s="54">
        <f>QUARTILE(L4:L18,2)</f>
        <v>-0.2082695188422338</v>
      </c>
      <c r="E42" s="3" t="s">
        <v>5</v>
      </c>
      <c r="F42" s="3"/>
      <c r="G42" s="3"/>
    </row>
    <row r="43" spans="1:13">
      <c r="A43" t="s">
        <v>599</v>
      </c>
      <c r="B43" s="3">
        <f>B40*0.75</f>
        <v>3.75</v>
      </c>
      <c r="C43" s="3"/>
      <c r="D43" s="54">
        <f>QUARTILE(L4:L18,3)</f>
        <v>0.23472913082576971</v>
      </c>
      <c r="E43" s="3" t="s">
        <v>2</v>
      </c>
      <c r="F43" s="3"/>
      <c r="G43" s="3"/>
    </row>
    <row r="44" spans="1:13">
      <c r="A44" t="s">
        <v>598</v>
      </c>
      <c r="B44" s="3">
        <f>B40*1</f>
        <v>5</v>
      </c>
      <c r="C44" s="3"/>
      <c r="D44" s="3"/>
      <c r="E44" s="3"/>
      <c r="F44" s="3"/>
      <c r="G44" s="3"/>
    </row>
    <row r="45" spans="1:13">
      <c r="B45" s="3"/>
      <c r="C45" s="3"/>
      <c r="D45" s="3"/>
      <c r="E45" s="3"/>
      <c r="F45" s="3"/>
      <c r="G45" s="3"/>
    </row>
    <row r="46" spans="1:13" ht="34.5">
      <c r="A46" s="6" t="s">
        <v>36</v>
      </c>
      <c r="B46" s="5">
        <v>4.5</v>
      </c>
      <c r="C46" s="5"/>
      <c r="D46" s="5"/>
      <c r="E46" s="5"/>
      <c r="F46" s="5">
        <v>0.5</v>
      </c>
      <c r="G46" s="5"/>
      <c r="H46" s="7"/>
      <c r="I46" s="7"/>
      <c r="J46" s="7"/>
      <c r="K46" s="7"/>
      <c r="L46" s="5">
        <f>B46+F46</f>
        <v>5</v>
      </c>
      <c r="M46" s="5"/>
    </row>
    <row r="47" spans="1:13">
      <c r="A47" t="s">
        <v>597</v>
      </c>
      <c r="B47" s="3">
        <f>B46*0.25</f>
        <v>1.125</v>
      </c>
      <c r="C47" s="3"/>
      <c r="D47" s="3">
        <f>QUARTILE(N4:N18,1)</f>
        <v>-16.32</v>
      </c>
      <c r="E47" s="3" t="s">
        <v>8</v>
      </c>
      <c r="F47" s="3" t="s">
        <v>7</v>
      </c>
      <c r="G47" s="3"/>
      <c r="H47">
        <v>0.5</v>
      </c>
    </row>
    <row r="48" spans="1:13">
      <c r="A48" t="s">
        <v>596</v>
      </c>
      <c r="B48" s="3">
        <f>B46*0.5</f>
        <v>2.25</v>
      </c>
      <c r="C48" s="3"/>
      <c r="D48" s="3">
        <f>QUARTILE(N4:N18,2)</f>
        <v>-3.53</v>
      </c>
      <c r="E48" s="3" t="s">
        <v>5</v>
      </c>
      <c r="F48" s="3" t="s">
        <v>4</v>
      </c>
      <c r="G48" s="3"/>
      <c r="H48">
        <v>0</v>
      </c>
    </row>
    <row r="49" spans="1:13">
      <c r="A49" t="s">
        <v>595</v>
      </c>
      <c r="B49" s="3">
        <f>B46*0.75</f>
        <v>3.375</v>
      </c>
      <c r="C49" s="3"/>
      <c r="D49" s="3">
        <f>QUARTILE(N4:N18,3)</f>
        <v>21.78</v>
      </c>
      <c r="E49" s="3" t="s">
        <v>2</v>
      </c>
      <c r="F49" s="3"/>
      <c r="G49" s="3"/>
    </row>
    <row r="50" spans="1:13">
      <c r="A50" t="s">
        <v>594</v>
      </c>
      <c r="B50" s="3">
        <f>B46*1</f>
        <v>4.5</v>
      </c>
      <c r="C50" s="3"/>
      <c r="D50" s="3"/>
      <c r="E50" s="3"/>
      <c r="F50" s="3"/>
      <c r="G50" s="3"/>
    </row>
    <row r="51" spans="1:13">
      <c r="B51" s="3"/>
      <c r="C51" s="3"/>
      <c r="D51" s="3"/>
      <c r="E51" s="3"/>
      <c r="F51" s="3"/>
      <c r="G51" s="3"/>
    </row>
    <row r="52" spans="1:13" ht="17.25">
      <c r="A52" s="6" t="s">
        <v>31</v>
      </c>
      <c r="B52" s="5">
        <v>9</v>
      </c>
      <c r="C52" s="5"/>
      <c r="D52" s="5"/>
      <c r="E52" s="5"/>
      <c r="F52" s="5">
        <v>1</v>
      </c>
      <c r="G52" s="5"/>
      <c r="H52" s="7"/>
      <c r="I52" s="7"/>
      <c r="J52" s="7"/>
      <c r="K52" s="7"/>
      <c r="L52" s="5">
        <v>10</v>
      </c>
      <c r="M52" s="5"/>
    </row>
    <row r="53" spans="1:13">
      <c r="A53" t="s">
        <v>593</v>
      </c>
      <c r="B53" s="3">
        <f>B52*0.25</f>
        <v>2.25</v>
      </c>
      <c r="C53" s="3"/>
      <c r="D53" s="3"/>
      <c r="E53" s="3"/>
      <c r="F53" s="3" t="s">
        <v>7</v>
      </c>
      <c r="G53" s="3"/>
      <c r="H53">
        <v>1</v>
      </c>
    </row>
    <row r="54" spans="1:13">
      <c r="A54" t="s">
        <v>592</v>
      </c>
      <c r="B54" s="3">
        <f>B52*0.5</f>
        <v>4.5</v>
      </c>
      <c r="C54" s="3"/>
      <c r="D54" s="3"/>
      <c r="E54" s="3"/>
      <c r="F54" s="3" t="s">
        <v>4</v>
      </c>
      <c r="G54" s="3"/>
      <c r="H54">
        <v>0</v>
      </c>
    </row>
    <row r="55" spans="1:13">
      <c r="A55" t="s">
        <v>591</v>
      </c>
      <c r="B55" s="3">
        <f>B52*0.75</f>
        <v>6.75</v>
      </c>
      <c r="C55" s="3"/>
      <c r="D55" s="3"/>
      <c r="E55" s="3"/>
      <c r="F55" s="3"/>
      <c r="G55" s="3"/>
    </row>
    <row r="56" spans="1:13">
      <c r="A56" t="s">
        <v>549</v>
      </c>
      <c r="B56" s="3">
        <f>B52*1</f>
        <v>9</v>
      </c>
      <c r="C56" s="3"/>
      <c r="D56" s="3"/>
      <c r="E56" s="3"/>
      <c r="F56" s="3"/>
      <c r="G56" s="3"/>
    </row>
    <row r="57" spans="1:13">
      <c r="B57" s="3"/>
      <c r="C57" s="3"/>
      <c r="D57" s="3"/>
      <c r="E57" s="3"/>
      <c r="F57" s="3"/>
      <c r="G57" s="3"/>
    </row>
    <row r="58" spans="1:13" ht="34.5">
      <c r="A58" s="6" t="s">
        <v>26</v>
      </c>
      <c r="B58" s="5">
        <v>13.5</v>
      </c>
      <c r="C58" s="5"/>
      <c r="D58" s="5"/>
      <c r="E58" s="5"/>
      <c r="F58" s="5">
        <v>1.5</v>
      </c>
      <c r="G58" s="5"/>
      <c r="H58" s="7"/>
      <c r="I58" s="7"/>
      <c r="J58" s="7"/>
      <c r="K58" s="7"/>
      <c r="L58" s="5">
        <v>15</v>
      </c>
      <c r="M58" s="5"/>
    </row>
    <row r="59" spans="1:13">
      <c r="A59" t="s">
        <v>590</v>
      </c>
      <c r="B59" s="3">
        <f>B58*0.25</f>
        <v>3.375</v>
      </c>
      <c r="C59" s="3"/>
      <c r="D59" s="3"/>
      <c r="E59" s="3"/>
      <c r="F59" s="3" t="s">
        <v>7</v>
      </c>
      <c r="G59" s="3"/>
      <c r="H59">
        <v>1.5</v>
      </c>
    </row>
    <row r="60" spans="1:13">
      <c r="A60" t="s">
        <v>589</v>
      </c>
      <c r="B60" s="3">
        <f>B58*0.5</f>
        <v>6.75</v>
      </c>
      <c r="C60" s="3"/>
      <c r="D60" s="3"/>
      <c r="E60" s="3"/>
      <c r="F60" s="3" t="s">
        <v>4</v>
      </c>
      <c r="G60" s="3"/>
      <c r="H60">
        <v>0</v>
      </c>
    </row>
    <row r="61" spans="1:13">
      <c r="A61" t="s">
        <v>588</v>
      </c>
      <c r="B61" s="3">
        <f>B58*0.75</f>
        <v>10.125</v>
      </c>
      <c r="C61" s="3"/>
      <c r="D61" s="3"/>
      <c r="E61" s="3"/>
      <c r="F61" s="3"/>
      <c r="G61" s="3"/>
    </row>
    <row r="62" spans="1:13">
      <c r="A62" t="s">
        <v>546</v>
      </c>
      <c r="B62" s="3">
        <f>B58*1</f>
        <v>13.5</v>
      </c>
      <c r="C62" s="3"/>
      <c r="D62" s="3"/>
      <c r="E62" s="3"/>
      <c r="F62" s="3"/>
      <c r="G62" s="3"/>
    </row>
    <row r="63" spans="1:13">
      <c r="B63" s="3"/>
      <c r="C63" s="3"/>
      <c r="D63" s="3"/>
      <c r="E63" s="3"/>
      <c r="F63" s="3"/>
      <c r="G63" s="3"/>
    </row>
    <row r="64" spans="1:13" ht="17.25">
      <c r="A64" s="6" t="s">
        <v>21</v>
      </c>
      <c r="B64" s="5">
        <v>15</v>
      </c>
      <c r="C64" s="5"/>
      <c r="D64" s="5"/>
      <c r="E64" s="5"/>
      <c r="F64" s="5">
        <v>1.5</v>
      </c>
      <c r="G64" s="5"/>
      <c r="H64" s="7"/>
      <c r="I64" s="7"/>
      <c r="J64" s="7"/>
      <c r="K64" s="7"/>
      <c r="L64" s="5">
        <v>15</v>
      </c>
      <c r="M64" s="5"/>
    </row>
    <row r="65" spans="1:13">
      <c r="A65" t="s">
        <v>587</v>
      </c>
      <c r="B65" s="3">
        <f>B64*0.25</f>
        <v>3.75</v>
      </c>
      <c r="C65" s="3"/>
      <c r="D65" s="3"/>
      <c r="E65" s="3"/>
      <c r="F65" s="3" t="s">
        <v>7</v>
      </c>
      <c r="G65" s="3"/>
      <c r="H65" s="5">
        <v>1.5</v>
      </c>
    </row>
    <row r="66" spans="1:13">
      <c r="A66" t="s">
        <v>586</v>
      </c>
      <c r="B66" s="3">
        <f>B64*0.5</f>
        <v>7.5</v>
      </c>
      <c r="C66" s="3"/>
      <c r="D66" s="3"/>
      <c r="E66" s="3"/>
      <c r="F66" s="3" t="s">
        <v>4</v>
      </c>
      <c r="G66" s="3"/>
      <c r="H66">
        <v>0</v>
      </c>
    </row>
    <row r="67" spans="1:13">
      <c r="A67" t="s">
        <v>585</v>
      </c>
      <c r="B67" s="3">
        <f>B64*0.75</f>
        <v>11.25</v>
      </c>
      <c r="C67" s="3"/>
      <c r="D67" s="3"/>
      <c r="E67" s="3"/>
      <c r="F67" s="3"/>
      <c r="G67" s="3"/>
    </row>
    <row r="68" spans="1:13">
      <c r="A68" t="s">
        <v>542</v>
      </c>
      <c r="B68" s="3">
        <f>B64*1</f>
        <v>15</v>
      </c>
      <c r="C68" s="3"/>
      <c r="D68" s="3"/>
      <c r="E68" s="3"/>
      <c r="F68" s="3"/>
      <c r="G68" s="3"/>
    </row>
    <row r="69" spans="1:13">
      <c r="B69" s="3"/>
      <c r="C69" s="3"/>
      <c r="D69" s="3"/>
      <c r="E69" s="3"/>
      <c r="F69" s="3"/>
      <c r="G69" s="3"/>
    </row>
    <row r="70" spans="1:13" ht="17.25">
      <c r="A70" s="225" t="s">
        <v>16</v>
      </c>
      <c r="B70" s="5">
        <v>4.5</v>
      </c>
      <c r="C70" s="5"/>
      <c r="D70" s="233">
        <f>QUARTILE(AD4:AD18,1)</f>
        <v>0.99458526121826463</v>
      </c>
      <c r="E70" s="5" t="s">
        <v>8</v>
      </c>
      <c r="F70" s="5">
        <v>0.5</v>
      </c>
      <c r="G70" s="5"/>
      <c r="H70" s="7"/>
      <c r="I70" s="7"/>
      <c r="J70" s="7"/>
      <c r="K70" s="7"/>
      <c r="L70" s="5">
        <v>5</v>
      </c>
      <c r="M70" s="5"/>
    </row>
    <row r="71" spans="1:13">
      <c r="A71" t="s">
        <v>584</v>
      </c>
      <c r="B71" s="3">
        <f>B70*0.25</f>
        <v>1.125</v>
      </c>
      <c r="C71" s="3"/>
      <c r="D71" s="233">
        <f>QUARTILE(AD4:AD18,2)</f>
        <v>1.0135962230424607</v>
      </c>
      <c r="E71" s="3" t="s">
        <v>5</v>
      </c>
      <c r="F71" s="3" t="s">
        <v>7</v>
      </c>
      <c r="G71" s="3"/>
      <c r="H71">
        <v>0.5</v>
      </c>
    </row>
    <row r="72" spans="1:13">
      <c r="A72" t="s">
        <v>583</v>
      </c>
      <c r="B72" s="3">
        <f>B70*0.5</f>
        <v>2.25</v>
      </c>
      <c r="C72" s="3"/>
      <c r="D72" s="233">
        <f>QUARTILE(AD4:AD18,3)</f>
        <v>1.0388636231310235</v>
      </c>
      <c r="E72" s="3" t="s">
        <v>2</v>
      </c>
      <c r="F72" s="3" t="s">
        <v>4</v>
      </c>
      <c r="G72" s="3"/>
      <c r="H72">
        <v>0</v>
      </c>
    </row>
    <row r="73" spans="1:13">
      <c r="A73" t="s">
        <v>582</v>
      </c>
      <c r="B73" s="3">
        <f>B70*0.75</f>
        <v>3.375</v>
      </c>
      <c r="C73" s="3"/>
      <c r="D73" s="3"/>
      <c r="E73" s="3"/>
      <c r="F73" s="3"/>
      <c r="G73" s="3"/>
    </row>
    <row r="74" spans="1:13">
      <c r="A74" t="s">
        <v>581</v>
      </c>
      <c r="B74" s="3">
        <f>B70*1</f>
        <v>4.5</v>
      </c>
      <c r="C74" s="3"/>
      <c r="D74" s="3"/>
      <c r="E74" s="3"/>
      <c r="F74" s="3"/>
      <c r="G74" s="3"/>
    </row>
    <row r="75" spans="1:13">
      <c r="B75" s="3"/>
      <c r="C75" s="3"/>
      <c r="D75" s="3"/>
      <c r="E75" s="3"/>
      <c r="F75" s="3"/>
      <c r="G75" s="3"/>
    </row>
    <row r="76" spans="1:13" ht="17.25">
      <c r="A76" s="225" t="s">
        <v>11</v>
      </c>
      <c r="B76" s="5">
        <v>9</v>
      </c>
      <c r="C76" s="5"/>
      <c r="D76" s="224">
        <f>QUARTILE(AH4:AH18,1)</f>
        <v>-2.9158164125106072E-3</v>
      </c>
      <c r="E76" s="5" t="s">
        <v>8</v>
      </c>
      <c r="F76" s="5">
        <v>1</v>
      </c>
      <c r="G76" s="5"/>
      <c r="H76" s="5"/>
      <c r="I76" s="5"/>
      <c r="J76" s="5"/>
      <c r="K76" s="5"/>
      <c r="L76" s="5">
        <v>10</v>
      </c>
      <c r="M76" s="5"/>
    </row>
    <row r="77" spans="1:13">
      <c r="A77" t="s">
        <v>580</v>
      </c>
      <c r="B77" s="3">
        <f>B76*0.25</f>
        <v>2.25</v>
      </c>
      <c r="C77" s="3"/>
      <c r="D77" s="224">
        <f>QUARTILE(AH4:AH18,2)</f>
        <v>6.9430037651271329E-2</v>
      </c>
      <c r="E77" s="3" t="s">
        <v>5</v>
      </c>
      <c r="F77" s="3" t="s">
        <v>7</v>
      </c>
      <c r="G77" s="3"/>
      <c r="H77">
        <v>1</v>
      </c>
    </row>
    <row r="78" spans="1:13">
      <c r="A78" t="s">
        <v>579</v>
      </c>
      <c r="B78" s="3">
        <f>B76*0.5</f>
        <v>4.5</v>
      </c>
      <c r="C78" s="3"/>
      <c r="D78" s="224">
        <f>QUARTILE(AH4:AH18,3)</f>
        <v>0.18333348767299029</v>
      </c>
      <c r="E78" s="3" t="s">
        <v>2</v>
      </c>
      <c r="F78" s="3" t="s">
        <v>4</v>
      </c>
      <c r="G78" s="3"/>
      <c r="H78">
        <v>0</v>
      </c>
    </row>
    <row r="79" spans="1:13">
      <c r="A79" t="s">
        <v>578</v>
      </c>
      <c r="B79" s="3">
        <f>B76*0.75</f>
        <v>6.75</v>
      </c>
      <c r="C79" s="3"/>
      <c r="D79" s="3"/>
      <c r="E79" s="3"/>
      <c r="F79" s="3"/>
      <c r="G79" s="3"/>
    </row>
    <row r="80" spans="1:13">
      <c r="A80" t="s">
        <v>577</v>
      </c>
      <c r="B80" s="3">
        <f>B76*1</f>
        <v>9</v>
      </c>
      <c r="C80" s="3"/>
      <c r="D80" s="3"/>
      <c r="E80" s="3"/>
      <c r="F80" s="3"/>
      <c r="G80" s="3"/>
    </row>
    <row r="81" spans="1:13">
      <c r="B81" s="3"/>
      <c r="C81" s="3"/>
      <c r="D81" s="3"/>
      <c r="E81" s="3"/>
      <c r="F81" s="3"/>
      <c r="G81" s="3"/>
    </row>
    <row r="82" spans="1:13" ht="18.75">
      <c r="B82" s="504" t="s">
        <v>0</v>
      </c>
      <c r="C82" s="504"/>
      <c r="D82" s="504"/>
      <c r="E82" s="504"/>
      <c r="F82" s="504"/>
      <c r="G82" s="504"/>
      <c r="H82" s="504"/>
      <c r="I82" s="504"/>
      <c r="J82" s="504"/>
      <c r="K82" s="2"/>
      <c r="L82" s="1">
        <f>SUM(L21:L79)</f>
        <v>100</v>
      </c>
      <c r="M82" s="1"/>
    </row>
    <row r="85" spans="1:13">
      <c r="A85">
        <v>2012</v>
      </c>
    </row>
    <row r="86" spans="1:13">
      <c r="A86" s="40"/>
      <c r="B86" s="40" t="s">
        <v>576</v>
      </c>
      <c r="C86" s="40"/>
      <c r="D86" s="40" t="s">
        <v>575</v>
      </c>
      <c r="E86" s="40"/>
      <c r="F86" s="40" t="s">
        <v>574</v>
      </c>
    </row>
    <row r="87" spans="1:13">
      <c r="A87" s="45" t="s">
        <v>530</v>
      </c>
      <c r="B87" s="43">
        <v>7.8</v>
      </c>
      <c r="C87" s="40"/>
      <c r="D87" s="40">
        <f>'[1]CAGR, ROCE'!D26/'[1]CAGR, ROCE'!J26*100</f>
        <v>7.5253537084852873</v>
      </c>
      <c r="E87" s="40"/>
      <c r="F87" s="229">
        <f t="shared" ref="F87:F101" si="19">(D87-B87)/B87</f>
        <v>-3.5211063014706737E-2</v>
      </c>
    </row>
    <row r="88" spans="1:13">
      <c r="A88" s="45" t="s">
        <v>529</v>
      </c>
      <c r="B88" s="43">
        <v>11.4</v>
      </c>
      <c r="C88" s="40"/>
      <c r="D88" s="40">
        <f>'[1]CAGR, ROCE'!D27/'[1]CAGR, ROCE'!J27*100</f>
        <v>10.884035137296664</v>
      </c>
      <c r="E88" s="40"/>
      <c r="F88" s="229">
        <f t="shared" si="19"/>
        <v>-4.526007567573128E-2</v>
      </c>
    </row>
    <row r="89" spans="1:13">
      <c r="A89" s="45" t="s">
        <v>528</v>
      </c>
      <c r="B89" s="43">
        <v>5.4</v>
      </c>
      <c r="C89" s="40"/>
      <c r="D89" s="40">
        <f>'[1]CAGR, ROCE'!D28/'[1]CAGR, ROCE'!J28*100</f>
        <v>6.5599680147410329</v>
      </c>
      <c r="E89" s="40"/>
      <c r="F89" s="229">
        <f t="shared" si="19"/>
        <v>0.2148088916187097</v>
      </c>
    </row>
    <row r="90" spans="1:13">
      <c r="A90" s="45" t="s">
        <v>527</v>
      </c>
      <c r="B90" s="107">
        <v>-1.8</v>
      </c>
      <c r="C90" s="40"/>
      <c r="D90" s="40">
        <f>'[1]CAGR, ROCE'!D29/'[1]CAGR, ROCE'!J29*100</f>
        <v>-1.7515202880622325</v>
      </c>
      <c r="E90" s="40"/>
      <c r="F90" s="229">
        <f t="shared" si="19"/>
        <v>-2.6933173298759758E-2</v>
      </c>
    </row>
    <row r="91" spans="1:13">
      <c r="A91" s="45" t="s">
        <v>526</v>
      </c>
      <c r="B91" s="43">
        <v>-2.5</v>
      </c>
      <c r="C91" s="40"/>
      <c r="D91" s="40">
        <f>'[1]CAGR, ROCE'!D30/'[1]CAGR, ROCE'!J30*100</f>
        <v>-2.4776045929085657</v>
      </c>
      <c r="E91" s="40"/>
      <c r="F91" s="229">
        <f t="shared" si="19"/>
        <v>-8.9581628365737135E-3</v>
      </c>
    </row>
    <row r="92" spans="1:13">
      <c r="A92" s="45" t="s">
        <v>525</v>
      </c>
      <c r="B92" s="43">
        <v>-34.299999999999997</v>
      </c>
      <c r="C92" s="40"/>
      <c r="D92" s="40">
        <f>'[1]CAGR, ROCE'!D31/'[1]CAGR, ROCE'!J31*100</f>
        <v>-40.524087926925667</v>
      </c>
      <c r="E92" s="40"/>
      <c r="F92" s="229">
        <f t="shared" si="19"/>
        <v>0.18146028941474257</v>
      </c>
    </row>
    <row r="93" spans="1:13">
      <c r="A93" s="45" t="s">
        <v>524</v>
      </c>
      <c r="B93" s="43">
        <v>-103.8</v>
      </c>
      <c r="C93" s="40"/>
      <c r="D93" s="40">
        <f>'[1]CAGR, ROCE'!D32/'[1]CAGR, ROCE'!J32*100</f>
        <v>-91.122628809420931</v>
      </c>
      <c r="E93" s="40"/>
      <c r="F93" s="229">
        <f t="shared" si="19"/>
        <v>-0.12213267042947078</v>
      </c>
    </row>
    <row r="94" spans="1:13">
      <c r="A94" s="45" t="s">
        <v>523</v>
      </c>
      <c r="B94" s="43">
        <v>60.2</v>
      </c>
      <c r="C94" s="40"/>
      <c r="D94" s="40">
        <f>'[1]CAGR, ROCE'!D33/'[1]CAGR, ROCE'!J33*100</f>
        <v>49.90491865041988</v>
      </c>
      <c r="E94" s="40"/>
      <c r="F94" s="229">
        <f t="shared" si="19"/>
        <v>-0.1710146403584738</v>
      </c>
    </row>
    <row r="95" spans="1:13">
      <c r="A95" s="45" t="s">
        <v>522</v>
      </c>
      <c r="B95" s="43">
        <v>51.4</v>
      </c>
      <c r="C95" s="40"/>
      <c r="D95" s="40">
        <f>'[1]CAGR, ROCE'!D34/'[1]CAGR, ROCE'!J34*100</f>
        <v>47.097591759930154</v>
      </c>
      <c r="E95" s="40"/>
      <c r="F95" s="229">
        <f t="shared" si="19"/>
        <v>-8.3704440468284916E-2</v>
      </c>
    </row>
    <row r="96" spans="1:13">
      <c r="A96" s="45" t="s">
        <v>521</v>
      </c>
      <c r="B96" s="232">
        <v>-1439.7</v>
      </c>
      <c r="C96" s="40"/>
      <c r="D96" s="40">
        <f>'[1]CAGR, ROCE'!D35/'[1]CAGR, ROCE'!J35*100</f>
        <v>-762.52604389645228</v>
      </c>
      <c r="E96" s="40"/>
      <c r="F96" s="229">
        <f t="shared" si="19"/>
        <v>-0.47035768292251701</v>
      </c>
    </row>
    <row r="97" spans="1:6">
      <c r="A97" s="45" t="s">
        <v>520</v>
      </c>
      <c r="B97" s="43">
        <v>78.400000000000006</v>
      </c>
      <c r="C97" s="40"/>
      <c r="D97" s="40">
        <f>'[1]CAGR, ROCE'!D36/'[1]CAGR, ROCE'!J36*100</f>
        <v>84.433940908555854</v>
      </c>
      <c r="E97" s="40"/>
      <c r="F97" s="229">
        <f t="shared" si="19"/>
        <v>7.6963531996885826E-2</v>
      </c>
    </row>
    <row r="98" spans="1:6">
      <c r="A98" s="45" t="s">
        <v>519</v>
      </c>
      <c r="B98" s="43">
        <v>19.5</v>
      </c>
      <c r="C98" s="40"/>
      <c r="D98" s="40">
        <f>'[1]CAGR, ROCE'!D37/'[1]CAGR, ROCE'!J37*100</f>
        <v>20.696511678169532</v>
      </c>
      <c r="E98" s="40"/>
      <c r="F98" s="229">
        <f t="shared" si="19"/>
        <v>6.1359573239463186E-2</v>
      </c>
    </row>
    <row r="99" spans="1:6">
      <c r="A99" s="45" t="s">
        <v>518</v>
      </c>
      <c r="B99" s="43">
        <v>-5</v>
      </c>
      <c r="C99" s="40"/>
      <c r="D99" s="40">
        <f>'[1]CAGR, ROCE'!D38/'[1]CAGR, ROCE'!J38*100</f>
        <v>3.0638826248803852</v>
      </c>
      <c r="E99" s="40"/>
      <c r="F99" s="229">
        <f t="shared" si="19"/>
        <v>-1.612776524976077</v>
      </c>
    </row>
    <row r="100" spans="1:6">
      <c r="A100" s="45" t="s">
        <v>517</v>
      </c>
      <c r="B100" s="43">
        <v>-94.9</v>
      </c>
      <c r="C100" s="40"/>
      <c r="D100" s="40">
        <f>'[1]CAGR, ROCE'!D39/'[1]CAGR, ROCE'!J39*100</f>
        <v>-171.54119475904952</v>
      </c>
      <c r="E100" s="40"/>
      <c r="F100" s="229">
        <f t="shared" si="19"/>
        <v>0.8075995232776555</v>
      </c>
    </row>
    <row r="101" spans="1:6">
      <c r="A101" s="45" t="s">
        <v>516</v>
      </c>
      <c r="B101" s="43">
        <v>0.2</v>
      </c>
      <c r="C101" s="40"/>
      <c r="D101" s="40">
        <f>'[1]CAGR, ROCE'!D40/'[1]CAGR, ROCE'!J40*100</f>
        <v>0.19714688247024847</v>
      </c>
      <c r="E101" s="40"/>
      <c r="F101" s="229">
        <f t="shared" si="19"/>
        <v>-1.4265587648757683E-2</v>
      </c>
    </row>
    <row r="103" spans="1:6">
      <c r="A103">
        <v>2011</v>
      </c>
    </row>
    <row r="104" spans="1:6">
      <c r="A104" s="40"/>
      <c r="B104" s="40" t="s">
        <v>576</v>
      </c>
      <c r="C104" s="40"/>
      <c r="D104" s="40" t="s">
        <v>575</v>
      </c>
      <c r="E104" s="40"/>
      <c r="F104" s="40" t="s">
        <v>574</v>
      </c>
    </row>
    <row r="105" spans="1:6">
      <c r="A105" s="45" t="s">
        <v>530</v>
      </c>
      <c r="B105" s="43">
        <v>14.7</v>
      </c>
      <c r="C105" s="40"/>
      <c r="D105" s="40">
        <f>'[1]CAGR, ROCE'!C26/'[1]CAGR, ROCE'!I26*100</f>
        <v>13.512768767803983</v>
      </c>
      <c r="E105" s="40"/>
      <c r="F105" s="229">
        <f t="shared" ref="F105:F119" si="20">(D105-B105)/B105</f>
        <v>-8.0764029401089524E-2</v>
      </c>
    </row>
    <row r="106" spans="1:6">
      <c r="A106" s="45" t="s">
        <v>529</v>
      </c>
      <c r="B106" s="43">
        <v>10.9</v>
      </c>
      <c r="C106" s="40"/>
      <c r="D106" s="40">
        <f>'[1]CAGR, ROCE'!C27/'[1]CAGR, ROCE'!I27*100</f>
        <v>10.468500492441265</v>
      </c>
      <c r="E106" s="40"/>
      <c r="F106" s="229">
        <f t="shared" si="20"/>
        <v>-3.9587110785205055E-2</v>
      </c>
    </row>
    <row r="107" spans="1:6">
      <c r="A107" s="45" t="s">
        <v>528</v>
      </c>
      <c r="B107" s="43"/>
      <c r="C107" s="40"/>
      <c r="D107" s="40">
        <f>'[1]CAGR, ROCE'!C28/'[1]CAGR, ROCE'!I28*100</f>
        <v>5.7292455483675546</v>
      </c>
      <c r="E107" s="40"/>
      <c r="F107" s="229" t="e">
        <f t="shared" si="20"/>
        <v>#DIV/0!</v>
      </c>
    </row>
    <row r="108" spans="1:6">
      <c r="A108" s="45" t="s">
        <v>527</v>
      </c>
      <c r="B108" s="107">
        <v>-2.6</v>
      </c>
      <c r="C108" s="40"/>
      <c r="D108" s="40">
        <f>'[1]CAGR, ROCE'!C29/'[1]CAGR, ROCE'!I29*100</f>
        <v>-2.6480238464086927</v>
      </c>
      <c r="E108" s="40"/>
      <c r="F108" s="229">
        <f t="shared" si="20"/>
        <v>1.8470710157189468E-2</v>
      </c>
    </row>
    <row r="109" spans="1:6">
      <c r="A109" s="45" t="s">
        <v>526</v>
      </c>
      <c r="B109" s="43">
        <v>-5</v>
      </c>
      <c r="C109" s="40"/>
      <c r="D109" s="40">
        <f>'[1]CAGR, ROCE'!C30/'[1]CAGR, ROCE'!I30*100</f>
        <v>-5.0712070348293476</v>
      </c>
      <c r="E109" s="40"/>
      <c r="F109" s="229">
        <f t="shared" si="20"/>
        <v>1.424140696586953E-2</v>
      </c>
    </row>
    <row r="110" spans="1:6">
      <c r="A110" s="45" t="s">
        <v>525</v>
      </c>
      <c r="B110" s="43">
        <v>-6.8</v>
      </c>
      <c r="C110" s="40"/>
      <c r="D110" s="40">
        <f>'[1]CAGR, ROCE'!C31/'[1]CAGR, ROCE'!I31*100</f>
        <v>-7.0644886725020353</v>
      </c>
      <c r="E110" s="40"/>
      <c r="F110" s="229">
        <f t="shared" si="20"/>
        <v>3.8895393015005213E-2</v>
      </c>
    </row>
    <row r="111" spans="1:6">
      <c r="A111" s="45" t="s">
        <v>524</v>
      </c>
      <c r="B111" s="43">
        <v>-141.5</v>
      </c>
      <c r="C111" s="40"/>
      <c r="D111" s="40">
        <f>'[1]CAGR, ROCE'!C32/'[1]CAGR, ROCE'!I32*100</f>
        <v>-170.71209354725926</v>
      </c>
      <c r="E111" s="40"/>
      <c r="F111" s="229">
        <f t="shared" si="20"/>
        <v>0.20644589079335166</v>
      </c>
    </row>
    <row r="112" spans="1:6">
      <c r="A112" s="45" t="s">
        <v>523</v>
      </c>
      <c r="B112" s="43">
        <v>66.2</v>
      </c>
      <c r="C112" s="40"/>
      <c r="D112" s="40">
        <f>'[1]CAGR, ROCE'!C33/'[1]CAGR, ROCE'!I33*100</f>
        <v>53.306731426060836</v>
      </c>
      <c r="E112" s="40"/>
      <c r="F112" s="229">
        <f t="shared" si="20"/>
        <v>-0.1947623651652442</v>
      </c>
    </row>
    <row r="113" spans="1:6">
      <c r="A113" s="45" t="s">
        <v>522</v>
      </c>
      <c r="B113" s="43">
        <v>39.9</v>
      </c>
      <c r="C113" s="40"/>
      <c r="D113" s="40">
        <f>'[1]CAGR, ROCE'!C34/'[1]CAGR, ROCE'!I34*100</f>
        <v>42.428192157978636</v>
      </c>
      <c r="E113" s="40"/>
      <c r="F113" s="229">
        <f t="shared" si="20"/>
        <v>6.3363211979414469E-2</v>
      </c>
    </row>
    <row r="114" spans="1:6">
      <c r="A114" s="45" t="s">
        <v>521</v>
      </c>
      <c r="B114" s="231">
        <v>133.5</v>
      </c>
      <c r="C114" s="230"/>
      <c r="D114" s="230">
        <f>'[1]CAGR, ROCE'!C35/'[1]CAGR, ROCE'!I35*100</f>
        <v>-7287.4036608863189</v>
      </c>
      <c r="E114" s="40"/>
      <c r="F114" s="229">
        <f t="shared" si="20"/>
        <v>-55.587293339972426</v>
      </c>
    </row>
    <row r="115" spans="1:6">
      <c r="A115" s="45" t="s">
        <v>520</v>
      </c>
      <c r="B115" s="43">
        <v>63</v>
      </c>
      <c r="C115" s="40"/>
      <c r="D115" s="40">
        <f>'[1]CAGR, ROCE'!C36/'[1]CAGR, ROCE'!I36*100</f>
        <v>69.054106472894944</v>
      </c>
      <c r="E115" s="40"/>
      <c r="F115" s="229">
        <f t="shared" si="20"/>
        <v>9.6096928141189586E-2</v>
      </c>
    </row>
    <row r="116" spans="1:6">
      <c r="A116" s="45" t="s">
        <v>519</v>
      </c>
      <c r="B116" s="43">
        <v>19</v>
      </c>
      <c r="C116" s="40"/>
      <c r="D116" s="40">
        <f>'[1]CAGR, ROCE'!C37/'[1]CAGR, ROCE'!I37*100</f>
        <v>17.812551448240235</v>
      </c>
      <c r="E116" s="40"/>
      <c r="F116" s="229">
        <f t="shared" si="20"/>
        <v>-6.2497292197882359E-2</v>
      </c>
    </row>
    <row r="117" spans="1:6">
      <c r="A117" s="45" t="s">
        <v>518</v>
      </c>
      <c r="B117" s="43">
        <v>-1.9</v>
      </c>
      <c r="C117" s="40"/>
      <c r="D117" s="40">
        <f>'[1]CAGR, ROCE'!C38/'[1]CAGR, ROCE'!I38*100</f>
        <v>-1.9552136998480389</v>
      </c>
      <c r="E117" s="40"/>
      <c r="F117" s="229">
        <f t="shared" si="20"/>
        <v>2.9059842025283701E-2</v>
      </c>
    </row>
    <row r="118" spans="1:6">
      <c r="A118" s="45" t="s">
        <v>517</v>
      </c>
      <c r="B118" s="43">
        <v>438.4</v>
      </c>
      <c r="C118" s="40"/>
      <c r="D118" s="40">
        <f>'[1]CAGR, ROCE'!C39/'[1]CAGR, ROCE'!I39*100</f>
        <v>156.19564409425405</v>
      </c>
      <c r="E118" s="40"/>
      <c r="F118" s="229">
        <f t="shared" si="20"/>
        <v>-0.64371431547843516</v>
      </c>
    </row>
    <row r="119" spans="1:6">
      <c r="A119" s="45" t="s">
        <v>516</v>
      </c>
      <c r="B119" s="43">
        <v>7</v>
      </c>
      <c r="C119" s="40"/>
      <c r="D119" s="40">
        <f>'[1]CAGR, ROCE'!C40/'[1]CAGR, ROCE'!I40*100</f>
        <v>6.7369002398700015</v>
      </c>
      <c r="E119" s="40"/>
      <c r="F119" s="229">
        <f t="shared" si="20"/>
        <v>-3.758568001857121E-2</v>
      </c>
    </row>
  </sheetData>
  <mergeCells count="2">
    <mergeCell ref="A1:AJ2"/>
    <mergeCell ref="B82:J82"/>
  </mergeCells>
  <conditionalFormatting sqref="F87:F101 F105:F119">
    <cfRule type="cellIs" dxfId="1" priority="1" operator="greaterThan">
      <formula>0.1</formula>
    </cfRule>
    <cfRule type="cellIs" dxfId="0" priority="2" operator="lessThan">
      <formula>-0.1</formula>
    </cfRule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activeCell="G10" sqref="G10"/>
    </sheetView>
  </sheetViews>
  <sheetFormatPr defaultRowHeight="15"/>
  <cols>
    <col min="1" max="1" width="26.5703125" bestFit="1" customWidth="1"/>
    <col min="2" max="3" width="25.5703125" customWidth="1"/>
    <col min="4" max="4" width="14.85546875" bestFit="1" customWidth="1"/>
    <col min="5" max="5" width="21.5703125" bestFit="1" customWidth="1"/>
    <col min="6" max="6" width="11.5703125" customWidth="1"/>
    <col min="7" max="7" width="26.5703125" bestFit="1" customWidth="1"/>
  </cols>
  <sheetData>
    <row r="1" spans="1:4">
      <c r="A1" s="538" t="s">
        <v>919</v>
      </c>
      <c r="B1" s="538" t="s">
        <v>93</v>
      </c>
      <c r="C1" s="43" t="s">
        <v>359</v>
      </c>
      <c r="D1" s="43" t="s">
        <v>917</v>
      </c>
    </row>
    <row r="2" spans="1:4">
      <c r="A2" s="538" t="s">
        <v>523</v>
      </c>
      <c r="B2" s="49">
        <v>89</v>
      </c>
      <c r="C2" s="482">
        <v>1</v>
      </c>
      <c r="D2" s="49">
        <v>-5.88</v>
      </c>
    </row>
    <row r="3" spans="1:4">
      <c r="A3" s="538" t="s">
        <v>522</v>
      </c>
      <c r="B3" s="49">
        <v>80.875</v>
      </c>
      <c r="C3" s="484">
        <v>-1</v>
      </c>
      <c r="D3" s="49">
        <v>-15.25</v>
      </c>
    </row>
    <row r="4" spans="1:4">
      <c r="A4" s="538" t="s">
        <v>520</v>
      </c>
      <c r="B4" s="49">
        <v>79.625</v>
      </c>
      <c r="C4" s="43">
        <v>0</v>
      </c>
      <c r="D4" s="49">
        <v>-12.38</v>
      </c>
    </row>
    <row r="5" spans="1:4">
      <c r="A5" s="538" t="s">
        <v>517</v>
      </c>
      <c r="B5" s="49">
        <v>79.625</v>
      </c>
      <c r="C5" s="482">
        <v>2</v>
      </c>
      <c r="D5" s="49">
        <v>-1.5</v>
      </c>
    </row>
    <row r="6" spans="1:4">
      <c r="A6" s="538" t="s">
        <v>519</v>
      </c>
      <c r="B6" s="49">
        <v>75.375</v>
      </c>
      <c r="C6" s="43">
        <v>0</v>
      </c>
      <c r="D6" s="49">
        <v>-5.75</v>
      </c>
    </row>
    <row r="7" spans="1:4">
      <c r="A7" s="538" t="s">
        <v>518</v>
      </c>
      <c r="B7" s="49">
        <v>74.75</v>
      </c>
      <c r="C7" s="482">
        <v>3</v>
      </c>
      <c r="D7" s="49">
        <v>6.75</v>
      </c>
    </row>
    <row r="8" spans="1:4">
      <c r="A8" s="538" t="s">
        <v>527</v>
      </c>
      <c r="B8" s="49">
        <v>70.375</v>
      </c>
      <c r="C8" s="482">
        <v>5</v>
      </c>
      <c r="D8" s="49">
        <v>19.13</v>
      </c>
    </row>
    <row r="9" spans="1:4">
      <c r="A9" s="538" t="s">
        <v>516</v>
      </c>
      <c r="B9" s="49">
        <v>70</v>
      </c>
      <c r="C9" s="482">
        <v>2</v>
      </c>
      <c r="D9" s="49">
        <v>8.5</v>
      </c>
    </row>
    <row r="10" spans="1:4">
      <c r="A10" s="538" t="s">
        <v>530</v>
      </c>
      <c r="B10" s="49">
        <v>69.875</v>
      </c>
      <c r="C10" s="484">
        <v>-1</v>
      </c>
      <c r="D10" s="49">
        <v>-4.5</v>
      </c>
    </row>
    <row r="11" spans="1:4">
      <c r="A11" s="538" t="s">
        <v>529</v>
      </c>
      <c r="B11" s="49">
        <v>69.625</v>
      </c>
      <c r="C11" s="484">
        <v>-6</v>
      </c>
      <c r="D11" s="49">
        <v>-15.63</v>
      </c>
    </row>
    <row r="12" spans="1:4">
      <c r="A12" s="538" t="s">
        <v>528</v>
      </c>
      <c r="B12" s="49">
        <v>65</v>
      </c>
      <c r="C12" s="484">
        <v>-4</v>
      </c>
      <c r="D12" s="49">
        <v>-9.8800000000000008</v>
      </c>
    </row>
    <row r="13" spans="1:4">
      <c r="A13" s="538" t="s">
        <v>525</v>
      </c>
      <c r="B13" s="49">
        <v>48.25</v>
      </c>
      <c r="C13" s="482">
        <v>3</v>
      </c>
      <c r="D13" s="49">
        <v>17.38</v>
      </c>
    </row>
    <row r="14" spans="1:4">
      <c r="A14" s="538" t="s">
        <v>521</v>
      </c>
      <c r="B14" s="49">
        <v>44.75</v>
      </c>
      <c r="C14" s="482">
        <v>1</v>
      </c>
      <c r="D14" s="49">
        <v>12.88</v>
      </c>
    </row>
    <row r="15" spans="1:4">
      <c r="A15" s="538" t="s">
        <v>526</v>
      </c>
      <c r="B15" s="49">
        <v>44</v>
      </c>
      <c r="C15" s="484">
        <v>-3</v>
      </c>
      <c r="D15" s="49">
        <v>-7.5</v>
      </c>
    </row>
    <row r="16" spans="1:4">
      <c r="A16" s="538" t="s">
        <v>524</v>
      </c>
      <c r="B16" s="49">
        <v>39.125</v>
      </c>
      <c r="C16" s="484">
        <v>-2</v>
      </c>
      <c r="D16" s="49">
        <v>-6.63</v>
      </c>
    </row>
  </sheetData>
  <sortState ref="A2:B16">
    <sortCondition descending="1" ref="B2:B16"/>
  </sortState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M93"/>
  <sheetViews>
    <sheetView topLeftCell="A3" zoomScale="75" zoomScaleNormal="75" zoomScalePageLayoutView="75" workbookViewId="0">
      <selection activeCell="A4" sqref="A4:A13"/>
    </sheetView>
  </sheetViews>
  <sheetFormatPr defaultColWidth="12.5703125" defaultRowHeight="15.75"/>
  <cols>
    <col min="1" max="1" width="37.85546875" style="236" bestFit="1" customWidth="1"/>
    <col min="2" max="4" width="12.5703125" style="236"/>
    <col min="5" max="5" width="9.85546875" style="236" bestFit="1" customWidth="1"/>
    <col min="6" max="6" width="16.140625" style="236" bestFit="1" customWidth="1"/>
    <col min="7" max="9" width="12.5703125" style="236"/>
    <col min="10" max="10" width="16.140625" style="236" bestFit="1" customWidth="1"/>
    <col min="11" max="15" width="12.5703125" style="236"/>
    <col min="16" max="16" width="14.42578125" style="236" bestFit="1" customWidth="1"/>
    <col min="17" max="29" width="12.5703125" style="236"/>
    <col min="30" max="30" width="24" style="236" bestFit="1" customWidth="1"/>
    <col min="31" max="33" width="12.5703125" style="236"/>
    <col min="34" max="34" width="9.28515625" style="236" bestFit="1" customWidth="1"/>
    <col min="35" max="38" width="12.5703125" style="236"/>
    <col min="39" max="39" width="37.85546875" style="236" bestFit="1" customWidth="1"/>
    <col min="40" max="16384" width="12.5703125" style="236"/>
  </cols>
  <sheetData>
    <row r="1" spans="1:39">
      <c r="A1" s="529" t="s">
        <v>669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250"/>
      <c r="AL1" s="250"/>
      <c r="AM1" s="250"/>
    </row>
    <row r="2" spans="1:39">
      <c r="A2" s="529"/>
      <c r="B2" s="529"/>
      <c r="C2" s="529"/>
      <c r="D2" s="529"/>
      <c r="E2" s="529"/>
      <c r="F2" s="529"/>
      <c r="G2" s="529"/>
      <c r="H2" s="529"/>
      <c r="I2" s="529"/>
      <c r="J2" s="529"/>
      <c r="K2" s="529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250"/>
      <c r="AL2" s="250"/>
      <c r="AM2" s="250"/>
    </row>
    <row r="3" spans="1:39" ht="78.75">
      <c r="A3" s="237" t="s">
        <v>97</v>
      </c>
      <c r="B3" s="237" t="s">
        <v>96</v>
      </c>
      <c r="C3" s="274" t="s">
        <v>93</v>
      </c>
      <c r="D3" s="274" t="s">
        <v>95</v>
      </c>
      <c r="E3" s="274" t="s">
        <v>93</v>
      </c>
      <c r="F3" s="237" t="s">
        <v>94</v>
      </c>
      <c r="G3" s="274" t="s">
        <v>83</v>
      </c>
      <c r="H3" s="274" t="s">
        <v>84</v>
      </c>
      <c r="I3" s="274" t="s">
        <v>93</v>
      </c>
      <c r="J3" s="237" t="s">
        <v>92</v>
      </c>
      <c r="K3" s="274" t="s">
        <v>83</v>
      </c>
      <c r="L3" s="275" t="s">
        <v>91</v>
      </c>
      <c r="M3" s="274" t="s">
        <v>83</v>
      </c>
      <c r="N3" s="274" t="s">
        <v>90</v>
      </c>
      <c r="O3" s="274" t="s">
        <v>83</v>
      </c>
      <c r="P3" s="274" t="s">
        <v>84</v>
      </c>
      <c r="Q3" s="274" t="s">
        <v>83</v>
      </c>
      <c r="R3" s="274" t="s">
        <v>89</v>
      </c>
      <c r="S3" s="274" t="s">
        <v>83</v>
      </c>
      <c r="T3" s="274" t="s">
        <v>84</v>
      </c>
      <c r="U3" s="274" t="s">
        <v>83</v>
      </c>
      <c r="V3" s="274" t="s">
        <v>88</v>
      </c>
      <c r="W3" s="274" t="s">
        <v>83</v>
      </c>
      <c r="X3" s="274" t="s">
        <v>84</v>
      </c>
      <c r="Y3" s="274" t="s">
        <v>83</v>
      </c>
      <c r="Z3" s="274" t="s">
        <v>87</v>
      </c>
      <c r="AA3" s="274" t="s">
        <v>83</v>
      </c>
      <c r="AB3" s="274" t="s">
        <v>84</v>
      </c>
      <c r="AC3" s="274" t="s">
        <v>83</v>
      </c>
      <c r="AD3" s="274" t="s">
        <v>86</v>
      </c>
      <c r="AE3" s="274" t="s">
        <v>83</v>
      </c>
      <c r="AF3" s="274" t="s">
        <v>84</v>
      </c>
      <c r="AG3" s="274" t="s">
        <v>83</v>
      </c>
      <c r="AH3" s="274" t="s">
        <v>85</v>
      </c>
      <c r="AI3" s="274" t="s">
        <v>83</v>
      </c>
      <c r="AJ3" s="274" t="s">
        <v>84</v>
      </c>
      <c r="AK3" s="274" t="s">
        <v>93</v>
      </c>
      <c r="AL3" s="273" t="s">
        <v>668</v>
      </c>
      <c r="AM3" s="237" t="s">
        <v>97</v>
      </c>
    </row>
    <row r="4" spans="1:39">
      <c r="A4" s="237" t="s">
        <v>667</v>
      </c>
      <c r="B4" s="237">
        <v>1.5</v>
      </c>
      <c r="C4" s="261">
        <f t="shared" ref="C4:C13" si="0">IF(B4&gt;3.5,$B$20,IF(B4&lt;=-7.6,$B$17,IF(AND(B4&gt;-7.6,B4&lt;=0),$B$18,$B$19)))</f>
        <v>10.125</v>
      </c>
      <c r="D4" s="237">
        <v>1</v>
      </c>
      <c r="E4" s="261">
        <f t="shared" ref="E4:E13" si="1">IF(D4=0,"0",$H$17)</f>
        <v>1.5</v>
      </c>
      <c r="F4" s="237">
        <v>1.1000000000000001</v>
      </c>
      <c r="G4" s="261">
        <f t="shared" ref="G4:G13" si="2">IF(F4&gt;38.6,$B$26,IF(F4&lt;=-1.5,$B$23,IF(AND(F4&gt;-1.5,F4&lt;=6.2),$B$24,$B$25)))</f>
        <v>6.75</v>
      </c>
      <c r="H4" s="237">
        <v>1</v>
      </c>
      <c r="I4" s="261">
        <f t="shared" ref="I4:I13" si="3">IF(H4=0,"0",$H$24)</f>
        <v>1.5</v>
      </c>
      <c r="J4" s="243">
        <v>-6.7737981716648021E-2</v>
      </c>
      <c r="K4" s="261">
        <f t="shared" ref="K4:K13" si="4">IF(J4&gt;QUARTILE($J$4:$J$13,3),$B$33,IF(AND(J4&lt;=QUARTILE($J$4:$J$13,3),J4&gt;QUARTILE($J$4:$J$13,2)),$B$32,IF(AND(J4&lt;=QUARTILE($J$4:$J$13,2),J4&gt;QUARTILE($J$4:$J$13,1)),$B$31,$B$30)))</f>
        <v>2.5</v>
      </c>
      <c r="L4" s="242">
        <v>0.23</v>
      </c>
      <c r="M4" s="261">
        <f t="shared" ref="M4:M13" si="5">IF(L4&gt;QUARTILE($L$4:$L$13,3),$B$39,IF(AND(L4&lt;=QUARTILE($L$4:$L$13,3),L4&gt;QUARTILE($L$4:$L$13,2)),$B$38,IF(AND(L4&lt;=QUARTILE($L$4:$L$14,2),L4&gt;QUARTILE($L$4:$L$13,1)),$B$37,$B$36)))</f>
        <v>2.5</v>
      </c>
      <c r="N4" s="237">
        <v>-38.409999999999997</v>
      </c>
      <c r="O4" s="261">
        <f t="shared" ref="O4:O13" si="6">IF(N4&gt;QUARTILE($N$4:$N$13,3),$B$45,IF(AND(N4&lt;=QUARTILE($N$4:$N$13,3),N4&gt;QUARTILE($N$4:$N$13,2)),$B$44,IF(AND(N4&lt;=QUARTILE($N$4:$N$13,2),N4&gt;QUARTILE($N$4:$N$13,1)),$B$43,$B$42)))</f>
        <v>4.5</v>
      </c>
      <c r="P4" s="237">
        <v>1</v>
      </c>
      <c r="Q4" s="261">
        <f t="shared" ref="Q4:Q13" si="7">IF(P4=0,"0",$H$42)</f>
        <v>0.5</v>
      </c>
      <c r="R4" s="237">
        <v>5.77</v>
      </c>
      <c r="S4" s="237">
        <f t="shared" ref="S4:S13" si="8">IF(R4&gt;12.26,$B$51,IF(R4&lt;=-44.36,$B$48,IF(AND(R4&gt;-44.36,R4&lt;=2.4),$B$49,$B$50)))</f>
        <v>6.75</v>
      </c>
      <c r="T4" s="237">
        <v>1</v>
      </c>
      <c r="U4" s="261">
        <f t="shared" ref="U4:U13" si="9">IF(T4=0,"0",$H$48)</f>
        <v>1</v>
      </c>
      <c r="V4" s="242">
        <v>1.0699999999999999E-2</v>
      </c>
      <c r="W4" s="261">
        <f t="shared" ref="W4:W13" si="10">IF(V4&gt;7.33%,$B$57,IF(V4&lt;=-29.52%,$B$54,IF(AND(V4&gt;-29.52%,V4&lt;=0.92%),$B$55,$B$56)))</f>
        <v>10.125</v>
      </c>
      <c r="X4" s="237">
        <v>0</v>
      </c>
      <c r="Y4" s="261" t="str">
        <f t="shared" ref="Y4:Y13" si="11">IF(X4=0,"0",$H$54)</f>
        <v>0</v>
      </c>
      <c r="Z4" s="242">
        <v>2.5000000000000001E-3</v>
      </c>
      <c r="AA4" s="261">
        <f t="shared" ref="AA4:AA13" si="12">IF(Z4&gt;3.89%,$B$63,IF(Z4&lt;=-72.24%,$B$60,IF(AND(Z4&gt;-72.24%,Z4&lt;=0.1%),$B$61,$B$62)))</f>
        <v>10.125</v>
      </c>
      <c r="AB4" s="237">
        <v>1</v>
      </c>
      <c r="AC4" s="261">
        <f t="shared" ref="AC4:AC13" si="13">IF(AB4=0,"0",$H$60)</f>
        <v>1.5</v>
      </c>
      <c r="AD4" s="237">
        <v>1.0107999999999999</v>
      </c>
      <c r="AE4" s="261">
        <f t="shared" ref="AE4:AE13" si="14">IF(AD4&gt;QUARTILE($AD$4:$AD$13,3),$B$69,IF(AND(AD4&lt;=QUARTILE($AD$4:$AD$13,3),AD4&gt;QUARTILE($AD$4:$AD$13,2)),$B$68,IF(AND(AD4&lt;=QUARTILE($AD$4:$AD$13,2),AD4&gt;QUARTILE($AD$4:$AD$13,1)),$B$67,$B$66)))</f>
        <v>3.375</v>
      </c>
      <c r="AF4" s="237">
        <v>0</v>
      </c>
      <c r="AG4" s="261" t="str">
        <f t="shared" ref="AG4:AG13" si="15">IF(AF4=0,"0",$H$66)</f>
        <v>0</v>
      </c>
      <c r="AH4" s="269">
        <v>4.41E-2</v>
      </c>
      <c r="AI4" s="261">
        <f>IF(AH4&gt;QUARTILE($AH$4:$AH$13,3),$B$75,IF(AND(AH4&lt;=QUARTILE($AH$4:$AH$13,3),AH4&gt;QUARTILE($AH$4:$AH$13,2)),$B$74,IF(AND(AH4&lt;=QUARTILE(AH4:$AH$13,2),AH4&gt;QUARTILE($AH$4:$AH$13,1)),$B$73,$B$72)))</f>
        <v>2.25</v>
      </c>
      <c r="AJ4" s="237">
        <v>0</v>
      </c>
      <c r="AK4" s="261" t="str">
        <f t="shared" ref="AK4:AK13" si="16">IF(AJ4=0,"0",$H$72)</f>
        <v>0</v>
      </c>
      <c r="AL4" s="272">
        <f t="shared" ref="AL4:AL13" si="17">C4+E4+G4+I4+K4+M4+O4+Q4+S4+U4+W4+Y4+AA4+AC4+AE4+AG4+AI4+AK4</f>
        <v>65</v>
      </c>
      <c r="AM4" s="237" t="s">
        <v>667</v>
      </c>
    </row>
    <row r="5" spans="1:39">
      <c r="A5" s="237" t="s">
        <v>666</v>
      </c>
      <c r="B5" s="237">
        <v>2</v>
      </c>
      <c r="C5" s="261">
        <f t="shared" si="0"/>
        <v>10.125</v>
      </c>
      <c r="D5" s="237">
        <v>1</v>
      </c>
      <c r="E5" s="261">
        <f t="shared" si="1"/>
        <v>1.5</v>
      </c>
      <c r="F5" s="237">
        <v>0.5</v>
      </c>
      <c r="G5" s="261">
        <f t="shared" si="2"/>
        <v>6.75</v>
      </c>
      <c r="H5" s="237">
        <v>0</v>
      </c>
      <c r="I5" s="261" t="str">
        <f t="shared" si="3"/>
        <v>0</v>
      </c>
      <c r="J5" s="243">
        <v>-7.0495818819700573E-2</v>
      </c>
      <c r="K5" s="261">
        <f t="shared" si="4"/>
        <v>2.5</v>
      </c>
      <c r="L5" s="242">
        <v>0.48299999999999998</v>
      </c>
      <c r="M5" s="261">
        <f t="shared" si="5"/>
        <v>3.75</v>
      </c>
      <c r="N5" s="237">
        <v>162.81</v>
      </c>
      <c r="O5" s="261">
        <f t="shared" si="6"/>
        <v>1.125</v>
      </c>
      <c r="P5" s="237">
        <v>1</v>
      </c>
      <c r="Q5" s="261">
        <f t="shared" si="7"/>
        <v>0.5</v>
      </c>
      <c r="R5" s="237">
        <v>4.87</v>
      </c>
      <c r="S5" s="237">
        <f t="shared" si="8"/>
        <v>6.75</v>
      </c>
      <c r="T5" s="237">
        <v>1</v>
      </c>
      <c r="U5" s="261">
        <f t="shared" si="9"/>
        <v>1</v>
      </c>
      <c r="V5" s="242">
        <v>-1.04E-2</v>
      </c>
      <c r="W5" s="261">
        <f t="shared" si="10"/>
        <v>6.75</v>
      </c>
      <c r="X5" s="237">
        <v>1</v>
      </c>
      <c r="Y5" s="261">
        <f t="shared" si="11"/>
        <v>1.5</v>
      </c>
      <c r="Z5" s="242">
        <v>1.9E-3</v>
      </c>
      <c r="AA5" s="261">
        <f t="shared" si="12"/>
        <v>10.125</v>
      </c>
      <c r="AB5" s="237">
        <v>0</v>
      </c>
      <c r="AC5" s="261" t="str">
        <f t="shared" si="13"/>
        <v>0</v>
      </c>
      <c r="AD5" s="237">
        <v>0.98970000000000002</v>
      </c>
      <c r="AE5" s="261">
        <f t="shared" si="14"/>
        <v>2.25</v>
      </c>
      <c r="AF5" s="237">
        <v>1</v>
      </c>
      <c r="AG5" s="261">
        <f t="shared" si="15"/>
        <v>0.5</v>
      </c>
      <c r="AH5" s="269">
        <v>6.0400000000000002E-2</v>
      </c>
      <c r="AI5" s="261">
        <f>IF(AH5&gt;QUARTILE($AH$4:$AH$13,3),$B$75,IF(AND(AH5&lt;=QUARTILE($AH$4:$AH$13,3),AH5&gt;QUARTILE($AH$4:$AH$13,2)),$B$74,IF(AND(AH5&lt;=QUARTILE(AH5:$AH$13,2),AH5&gt;QUARTILE($AH$4:$AH$13,1)),$B$73,$B$72)))</f>
        <v>4.5</v>
      </c>
      <c r="AJ5" s="237">
        <v>0</v>
      </c>
      <c r="AK5" s="261" t="str">
        <f t="shared" si="16"/>
        <v>0</v>
      </c>
      <c r="AL5" s="268">
        <f t="shared" si="17"/>
        <v>59.625</v>
      </c>
      <c r="AM5" s="237" t="s">
        <v>666</v>
      </c>
    </row>
    <row r="6" spans="1:39">
      <c r="A6" s="237" t="s">
        <v>665</v>
      </c>
      <c r="B6" s="237">
        <v>-11</v>
      </c>
      <c r="C6" s="261">
        <f t="shared" si="0"/>
        <v>3.375</v>
      </c>
      <c r="D6" s="237">
        <v>1</v>
      </c>
      <c r="E6" s="261">
        <f t="shared" si="1"/>
        <v>1.5</v>
      </c>
      <c r="F6" s="237">
        <v>-224.7</v>
      </c>
      <c r="G6" s="261">
        <f t="shared" si="2"/>
        <v>3.375</v>
      </c>
      <c r="H6" s="237">
        <v>0</v>
      </c>
      <c r="I6" s="261" t="str">
        <f t="shared" si="3"/>
        <v>0</v>
      </c>
      <c r="J6" s="243">
        <v>-0.22661749727672942</v>
      </c>
      <c r="K6" s="261">
        <f t="shared" si="4"/>
        <v>1.25</v>
      </c>
      <c r="L6" s="242">
        <v>0.59770000000000001</v>
      </c>
      <c r="M6" s="261">
        <f t="shared" si="5"/>
        <v>3.75</v>
      </c>
      <c r="N6" s="237">
        <v>-140.03</v>
      </c>
      <c r="O6" s="261">
        <f t="shared" si="6"/>
        <v>4.5</v>
      </c>
      <c r="P6" s="237">
        <v>1</v>
      </c>
      <c r="Q6" s="261">
        <f t="shared" si="7"/>
        <v>0.5</v>
      </c>
      <c r="R6" s="237">
        <v>-12.71</v>
      </c>
      <c r="S6" s="237">
        <f t="shared" si="8"/>
        <v>4.5</v>
      </c>
      <c r="T6" s="237">
        <v>1</v>
      </c>
      <c r="U6" s="261">
        <f t="shared" si="9"/>
        <v>1</v>
      </c>
      <c r="V6" s="242">
        <v>-3.95E-2</v>
      </c>
      <c r="W6" s="261">
        <f t="shared" si="10"/>
        <v>6.75</v>
      </c>
      <c r="X6" s="237">
        <v>1</v>
      </c>
      <c r="Y6" s="261">
        <f t="shared" si="11"/>
        <v>1.5</v>
      </c>
      <c r="Z6" s="242">
        <v>-0.1867</v>
      </c>
      <c r="AA6" s="261">
        <f t="shared" si="12"/>
        <v>6.75</v>
      </c>
      <c r="AB6" s="237">
        <v>1</v>
      </c>
      <c r="AC6" s="261">
        <f t="shared" si="13"/>
        <v>1.5</v>
      </c>
      <c r="AD6" s="237">
        <v>0.96189999999999998</v>
      </c>
      <c r="AE6" s="261">
        <f t="shared" si="14"/>
        <v>2.25</v>
      </c>
      <c r="AF6" s="237">
        <v>1</v>
      </c>
      <c r="AG6" s="261">
        <f t="shared" si="15"/>
        <v>0.5</v>
      </c>
      <c r="AH6" s="269">
        <v>9.0623000000000005</v>
      </c>
      <c r="AI6" s="261">
        <f>IF(AH6&gt;QUARTILE($AH$4:$AH$13,3),$B$75,IF(AND(AH6&lt;=QUARTILE($AH$4:$AH$13,3),AH6&gt;QUARTILE($AH$4:$AH$13,2)),$B$74,IF(AND(AH6&lt;=QUARTILE(AH6:$AH$13,2),AH6&gt;QUARTILE($AH$4:$AH$13,1)),$B$73,$B$72)))</f>
        <v>9</v>
      </c>
      <c r="AJ6" s="237">
        <v>1</v>
      </c>
      <c r="AK6" s="261">
        <f t="shared" si="16"/>
        <v>1</v>
      </c>
      <c r="AL6" s="268">
        <f t="shared" si="17"/>
        <v>53</v>
      </c>
      <c r="AM6" s="237" t="s">
        <v>665</v>
      </c>
    </row>
    <row r="7" spans="1:39">
      <c r="A7" s="237" t="s">
        <v>664</v>
      </c>
      <c r="B7" s="237">
        <v>9.1</v>
      </c>
      <c r="C7" s="261">
        <f t="shared" si="0"/>
        <v>13.5</v>
      </c>
      <c r="D7" s="237">
        <v>1</v>
      </c>
      <c r="E7" s="261">
        <f t="shared" si="1"/>
        <v>1.5</v>
      </c>
      <c r="F7" s="237">
        <v>25.4</v>
      </c>
      <c r="G7" s="261">
        <f t="shared" si="2"/>
        <v>10.125</v>
      </c>
      <c r="H7" s="237">
        <v>1</v>
      </c>
      <c r="I7" s="261">
        <f t="shared" si="3"/>
        <v>1.5</v>
      </c>
      <c r="J7" s="271">
        <v>4.9700000000000001E-2</v>
      </c>
      <c r="K7" s="261">
        <f t="shared" si="4"/>
        <v>3.75</v>
      </c>
      <c r="L7" s="270">
        <v>6.21</v>
      </c>
      <c r="M7" s="261">
        <f t="shared" si="5"/>
        <v>5</v>
      </c>
      <c r="N7" s="237">
        <v>18.22</v>
      </c>
      <c r="O7" s="261">
        <f t="shared" si="6"/>
        <v>3.375</v>
      </c>
      <c r="P7" s="237">
        <v>0</v>
      </c>
      <c r="Q7" s="261" t="str">
        <f t="shared" si="7"/>
        <v>0</v>
      </c>
      <c r="R7" s="237">
        <v>7.65</v>
      </c>
      <c r="S7" s="237">
        <f t="shared" si="8"/>
        <v>6.75</v>
      </c>
      <c r="T7" s="237">
        <v>1</v>
      </c>
      <c r="U7" s="261">
        <f t="shared" si="9"/>
        <v>1</v>
      </c>
      <c r="V7" s="242">
        <v>7.9000000000000001E-2</v>
      </c>
      <c r="W7" s="261">
        <f t="shared" si="10"/>
        <v>13.5</v>
      </c>
      <c r="X7" s="237">
        <v>1</v>
      </c>
      <c r="Y7" s="261">
        <f t="shared" si="11"/>
        <v>1.5</v>
      </c>
      <c r="Z7" s="237">
        <v>5.31</v>
      </c>
      <c r="AA7" s="261">
        <f t="shared" si="12"/>
        <v>13.5</v>
      </c>
      <c r="AB7" s="237">
        <v>1</v>
      </c>
      <c r="AC7" s="261">
        <f t="shared" si="13"/>
        <v>1.5</v>
      </c>
      <c r="AD7" s="237">
        <v>0.92090000000000005</v>
      </c>
      <c r="AE7" s="261">
        <f t="shared" si="14"/>
        <v>1.125</v>
      </c>
      <c r="AF7" s="237">
        <v>0</v>
      </c>
      <c r="AG7" s="261" t="str">
        <f t="shared" si="15"/>
        <v>0</v>
      </c>
      <c r="AH7" s="269">
        <v>0.26</v>
      </c>
      <c r="AI7" s="261">
        <f>IF(AH7&gt;QUARTILE($AH$4:$AH$13,3),$B$75,IF(AND(AH7&lt;=QUARTILE($AH$4:$AH$13,3),AH7&gt;QUARTILE($AH$4:$AH$13,2)),$B$74,IF(AND(AH7&lt;=QUARTILE(AH7:$AH$13,2),AH7&gt;QUARTILE($AH$4:$AH$13,1)),$B$73,$B$72)))</f>
        <v>6.75</v>
      </c>
      <c r="AJ7" s="237">
        <v>1</v>
      </c>
      <c r="AK7" s="261">
        <f t="shared" si="16"/>
        <v>1</v>
      </c>
      <c r="AL7" s="268">
        <f t="shared" si="17"/>
        <v>85.375</v>
      </c>
      <c r="AM7" s="237" t="s">
        <v>664</v>
      </c>
    </row>
    <row r="8" spans="1:39">
      <c r="A8" s="237" t="s">
        <v>663</v>
      </c>
      <c r="B8" s="237">
        <v>2.8</v>
      </c>
      <c r="C8" s="261">
        <f t="shared" si="0"/>
        <v>10.125</v>
      </c>
      <c r="D8" s="237">
        <v>0</v>
      </c>
      <c r="E8" s="261" t="str">
        <f t="shared" si="1"/>
        <v>0</v>
      </c>
      <c r="F8" s="237">
        <v>8.1999999999999993</v>
      </c>
      <c r="G8" s="261">
        <f t="shared" si="2"/>
        <v>10.125</v>
      </c>
      <c r="H8" s="237">
        <v>0</v>
      </c>
      <c r="I8" s="261" t="str">
        <f t="shared" si="3"/>
        <v>0</v>
      </c>
      <c r="J8" s="243">
        <v>-8.3390985063037659E-3</v>
      </c>
      <c r="K8" s="261">
        <f t="shared" si="4"/>
        <v>3.75</v>
      </c>
      <c r="L8" s="242">
        <v>4.0000000000000001E-3</v>
      </c>
      <c r="M8" s="261">
        <f t="shared" si="5"/>
        <v>1.25</v>
      </c>
      <c r="N8" s="237">
        <v>20.51</v>
      </c>
      <c r="O8" s="261">
        <f t="shared" si="6"/>
        <v>2.25</v>
      </c>
      <c r="P8" s="237">
        <v>0</v>
      </c>
      <c r="Q8" s="261" t="str">
        <f t="shared" si="7"/>
        <v>0</v>
      </c>
      <c r="R8" s="237">
        <v>4.2300000000000004</v>
      </c>
      <c r="S8" s="237">
        <f t="shared" si="8"/>
        <v>6.75</v>
      </c>
      <c r="T8" s="237">
        <v>0</v>
      </c>
      <c r="U8" s="261" t="str">
        <f t="shared" si="9"/>
        <v>0</v>
      </c>
      <c r="V8" s="242">
        <v>1.7500000000000002E-2</v>
      </c>
      <c r="W8" s="261">
        <f t="shared" si="10"/>
        <v>10.125</v>
      </c>
      <c r="X8" s="237">
        <v>0</v>
      </c>
      <c r="Y8" s="261" t="str">
        <f t="shared" si="11"/>
        <v>0</v>
      </c>
      <c r="Z8" s="237">
        <v>0.95</v>
      </c>
      <c r="AA8" s="261">
        <f t="shared" si="12"/>
        <v>13.5</v>
      </c>
      <c r="AB8" s="237">
        <v>0</v>
      </c>
      <c r="AC8" s="261" t="str">
        <f t="shared" si="13"/>
        <v>0</v>
      </c>
      <c r="AD8" s="237">
        <v>1.0178</v>
      </c>
      <c r="AE8" s="261">
        <f t="shared" si="14"/>
        <v>3.375</v>
      </c>
      <c r="AF8" s="237">
        <v>0</v>
      </c>
      <c r="AG8" s="261" t="str">
        <f t="shared" si="15"/>
        <v>0</v>
      </c>
      <c r="AH8" s="269">
        <v>0.10780000000000001</v>
      </c>
      <c r="AI8" s="261">
        <f>IF(AH8&gt;QUARTILE($AH$4:$AH$13,3),$B$75,IF(AND(AH8&lt;=QUARTILE($AH$4:$AH$13,3),AH8&gt;QUARTILE($AH$4:$AH$13,2)),$B$74,IF(AND(AH8&lt;=QUARTILE(AH8:$AH$13,2),AH8&gt;QUARTILE($AH$4:$AH$13,1)),$B$73,$B$72)))</f>
        <v>4.5</v>
      </c>
      <c r="AJ8" s="237">
        <v>0</v>
      </c>
      <c r="AK8" s="261" t="str">
        <f t="shared" si="16"/>
        <v>0</v>
      </c>
      <c r="AL8" s="268">
        <f t="shared" si="17"/>
        <v>65.75</v>
      </c>
      <c r="AM8" s="237" t="s">
        <v>663</v>
      </c>
    </row>
    <row r="9" spans="1:39">
      <c r="A9" s="237" t="s">
        <v>662</v>
      </c>
      <c r="B9" s="237">
        <v>42.1</v>
      </c>
      <c r="C9" s="261">
        <f t="shared" si="0"/>
        <v>13.5</v>
      </c>
      <c r="D9" s="237">
        <v>1</v>
      </c>
      <c r="E9" s="261">
        <f t="shared" si="1"/>
        <v>1.5</v>
      </c>
      <c r="F9" s="237">
        <v>79.099999999999994</v>
      </c>
      <c r="G9" s="261">
        <f t="shared" si="2"/>
        <v>13.5</v>
      </c>
      <c r="H9" s="237">
        <v>1</v>
      </c>
      <c r="I9" s="261">
        <f t="shared" si="3"/>
        <v>1.5</v>
      </c>
      <c r="J9" s="243">
        <v>0.91845888217098959</v>
      </c>
      <c r="K9" s="261">
        <f t="shared" si="4"/>
        <v>5</v>
      </c>
      <c r="L9" s="242">
        <v>54.853999999999999</v>
      </c>
      <c r="M9" s="261">
        <f t="shared" si="5"/>
        <v>5</v>
      </c>
      <c r="N9" s="237">
        <v>-106.25</v>
      </c>
      <c r="O9" s="261">
        <f t="shared" si="6"/>
        <v>4.5</v>
      </c>
      <c r="P9" s="237">
        <v>1</v>
      </c>
      <c r="Q9" s="261">
        <f t="shared" si="7"/>
        <v>0.5</v>
      </c>
      <c r="R9" s="237">
        <v>25.91</v>
      </c>
      <c r="S9" s="237">
        <f t="shared" si="8"/>
        <v>9</v>
      </c>
      <c r="T9" s="237">
        <v>1</v>
      </c>
      <c r="U9" s="261">
        <f t="shared" si="9"/>
        <v>1</v>
      </c>
      <c r="V9" s="242">
        <v>0.24410000000000001</v>
      </c>
      <c r="W9" s="261">
        <f t="shared" si="10"/>
        <v>13.5</v>
      </c>
      <c r="X9" s="237">
        <v>1</v>
      </c>
      <c r="Y9" s="261">
        <f t="shared" si="11"/>
        <v>1.5</v>
      </c>
      <c r="Z9" s="237">
        <v>22.24</v>
      </c>
      <c r="AA9" s="261">
        <f t="shared" si="12"/>
        <v>13.5</v>
      </c>
      <c r="AB9" s="237">
        <v>1</v>
      </c>
      <c r="AC9" s="261">
        <f t="shared" si="13"/>
        <v>1.5</v>
      </c>
      <c r="AD9" s="237">
        <v>1.2979000000000001</v>
      </c>
      <c r="AE9" s="261">
        <f t="shared" si="14"/>
        <v>4.5</v>
      </c>
      <c r="AF9" s="237">
        <v>1</v>
      </c>
      <c r="AG9" s="261">
        <f t="shared" si="15"/>
        <v>0.5</v>
      </c>
      <c r="AH9" s="269">
        <v>0.33500000000000002</v>
      </c>
      <c r="AI9" s="261">
        <f>IF(AH9&gt;QUARTILE($AH$4:$AH$13,3),$B$75,IF(AND(AH9&lt;=QUARTILE($AH$4:$AH$13,3),AH9&gt;QUARTILE($AH$4:$AH$13,2)),$B$74,IF(AND(AH9&lt;=QUARTILE(AH9:$AH$13,2),AH9&gt;QUARTILE($AH$4:$AH$13,1)),$B$73,$B$72)))</f>
        <v>9</v>
      </c>
      <c r="AJ9" s="237">
        <v>1</v>
      </c>
      <c r="AK9" s="261">
        <f t="shared" si="16"/>
        <v>1</v>
      </c>
      <c r="AL9" s="268">
        <f t="shared" si="17"/>
        <v>100</v>
      </c>
      <c r="AM9" s="237" t="s">
        <v>662</v>
      </c>
    </row>
    <row r="10" spans="1:39">
      <c r="A10" s="237" t="s">
        <v>661</v>
      </c>
      <c r="B10" s="237">
        <v>21</v>
      </c>
      <c r="C10" s="261">
        <f t="shared" si="0"/>
        <v>13.5</v>
      </c>
      <c r="D10" s="237">
        <v>1</v>
      </c>
      <c r="E10" s="261">
        <f t="shared" si="1"/>
        <v>1.5</v>
      </c>
      <c r="F10" s="237">
        <v>117.6</v>
      </c>
      <c r="G10" s="261">
        <f t="shared" si="2"/>
        <v>13.5</v>
      </c>
      <c r="H10" s="237">
        <v>1</v>
      </c>
      <c r="I10" s="261">
        <f t="shared" si="3"/>
        <v>1.5</v>
      </c>
      <c r="J10" s="243">
        <v>0.44075318778569228</v>
      </c>
      <c r="K10" s="261">
        <f t="shared" si="4"/>
        <v>5</v>
      </c>
      <c r="L10" s="270">
        <v>1.4</v>
      </c>
      <c r="M10" s="261">
        <f t="shared" si="5"/>
        <v>5</v>
      </c>
      <c r="N10" s="237">
        <v>19.66</v>
      </c>
      <c r="O10" s="261">
        <f t="shared" si="6"/>
        <v>2.25</v>
      </c>
      <c r="P10" s="237">
        <v>0</v>
      </c>
      <c r="Q10" s="261" t="str">
        <f t="shared" si="7"/>
        <v>0</v>
      </c>
      <c r="R10" s="237">
        <v>7.13</v>
      </c>
      <c r="S10" s="237">
        <f t="shared" si="8"/>
        <v>6.75</v>
      </c>
      <c r="T10" s="237">
        <v>1</v>
      </c>
      <c r="U10" s="261">
        <f t="shared" si="9"/>
        <v>1</v>
      </c>
      <c r="V10" s="242">
        <v>7.1400000000000005E-2</v>
      </c>
      <c r="W10" s="261">
        <f t="shared" si="10"/>
        <v>10.125</v>
      </c>
      <c r="X10" s="237">
        <v>1</v>
      </c>
      <c r="Y10" s="261">
        <f t="shared" si="11"/>
        <v>1.5</v>
      </c>
      <c r="Z10" s="237">
        <v>5.69</v>
      </c>
      <c r="AA10" s="261">
        <f t="shared" si="12"/>
        <v>13.5</v>
      </c>
      <c r="AB10" s="237">
        <v>1</v>
      </c>
      <c r="AC10" s="261">
        <f t="shared" si="13"/>
        <v>1.5</v>
      </c>
      <c r="AD10" s="237">
        <v>1.0769</v>
      </c>
      <c r="AE10" s="261">
        <f t="shared" si="14"/>
        <v>4.5</v>
      </c>
      <c r="AF10" s="237">
        <v>1</v>
      </c>
      <c r="AG10" s="261">
        <f t="shared" si="15"/>
        <v>0.5</v>
      </c>
      <c r="AH10" s="269">
        <v>0.747</v>
      </c>
      <c r="AI10" s="261">
        <f>IF(AH10&gt;QUARTILE($AH$4:$AH$13,3),$B$75,IF(AND(AH10&lt;=QUARTILE($AH$4:$AH$13,3),AH10&gt;QUARTILE($AH$4:$AH$13,2)),$B$74,IF(AND(AH10&lt;=QUARTILE(AH10:$AH$13,2),AH10&gt;QUARTILE($AH$4:$AH$13,1)),$B$73,$B$72)))</f>
        <v>9</v>
      </c>
      <c r="AJ10" s="237">
        <v>1</v>
      </c>
      <c r="AK10" s="261">
        <f t="shared" si="16"/>
        <v>1</v>
      </c>
      <c r="AL10" s="268">
        <f t="shared" si="17"/>
        <v>91.625</v>
      </c>
      <c r="AM10" s="237" t="s">
        <v>661</v>
      </c>
    </row>
    <row r="11" spans="1:39">
      <c r="A11" s="237" t="s">
        <v>660</v>
      </c>
      <c r="B11" s="237">
        <v>13.2</v>
      </c>
      <c r="C11" s="261">
        <f t="shared" si="0"/>
        <v>13.5</v>
      </c>
      <c r="D11" s="237">
        <v>1</v>
      </c>
      <c r="E11" s="261">
        <f t="shared" si="1"/>
        <v>1.5</v>
      </c>
      <c r="F11" s="237">
        <v>55</v>
      </c>
      <c r="G11" s="261">
        <f t="shared" si="2"/>
        <v>13.5</v>
      </c>
      <c r="H11" s="237">
        <v>0</v>
      </c>
      <c r="I11" s="261" t="str">
        <f t="shared" si="3"/>
        <v>0</v>
      </c>
      <c r="J11" s="243">
        <v>6.8114532208550793E-2</v>
      </c>
      <c r="K11" s="261">
        <f t="shared" si="4"/>
        <v>5</v>
      </c>
      <c r="L11" s="242">
        <v>0.224</v>
      </c>
      <c r="M11" s="261">
        <f t="shared" si="5"/>
        <v>2.5</v>
      </c>
      <c r="N11" s="237">
        <v>91.65</v>
      </c>
      <c r="O11" s="261">
        <f t="shared" si="6"/>
        <v>1.125</v>
      </c>
      <c r="P11" s="237">
        <v>0</v>
      </c>
      <c r="Q11" s="261" t="str">
        <f t="shared" si="7"/>
        <v>0</v>
      </c>
      <c r="R11" s="237">
        <v>10.24</v>
      </c>
      <c r="S11" s="237">
        <f t="shared" si="8"/>
        <v>6.75</v>
      </c>
      <c r="T11" s="237">
        <v>1</v>
      </c>
      <c r="U11" s="261">
        <f t="shared" si="9"/>
        <v>1</v>
      </c>
      <c r="V11" s="242">
        <v>8.2400000000000001E-2</v>
      </c>
      <c r="W11" s="261">
        <f t="shared" si="10"/>
        <v>13.5</v>
      </c>
      <c r="X11" s="237">
        <v>1</v>
      </c>
      <c r="Y11" s="261">
        <f t="shared" si="11"/>
        <v>1.5</v>
      </c>
      <c r="Z11" s="237">
        <v>6.56</v>
      </c>
      <c r="AA11" s="261">
        <f t="shared" si="12"/>
        <v>13.5</v>
      </c>
      <c r="AB11" s="237">
        <v>1</v>
      </c>
      <c r="AC11" s="261">
        <f t="shared" si="13"/>
        <v>1.5</v>
      </c>
      <c r="AD11" s="237">
        <v>1.0898000000000001</v>
      </c>
      <c r="AE11" s="261">
        <f t="shared" si="14"/>
        <v>4.5</v>
      </c>
      <c r="AF11" s="237">
        <v>1</v>
      </c>
      <c r="AG11" s="261">
        <f t="shared" si="15"/>
        <v>0.5</v>
      </c>
      <c r="AH11" s="269">
        <v>0.30130000000000001</v>
      </c>
      <c r="AI11" s="261">
        <f>IF(AH11&gt;QUARTILE($AH$4:$AH$13,3),$B$75,IF(AND(AH11&lt;=QUARTILE($AH$4:$AH$13,3),AH11&gt;QUARTILE($AH$4:$AH$13,2)),$B$74,IF(AND(AH11&lt;=QUARTILE(AH11:$AH$13,2),AH11&gt;QUARTILE($AH$4:$AH$13,1)),$B$73,$B$72)))</f>
        <v>6.75</v>
      </c>
      <c r="AJ11" s="237">
        <v>0</v>
      </c>
      <c r="AK11" s="261" t="str">
        <f t="shared" si="16"/>
        <v>0</v>
      </c>
      <c r="AL11" s="268">
        <f t="shared" si="17"/>
        <v>86.625</v>
      </c>
      <c r="AM11" s="237" t="s">
        <v>660</v>
      </c>
    </row>
    <row r="12" spans="1:39">
      <c r="A12" s="237" t="s">
        <v>659</v>
      </c>
      <c r="B12" s="237">
        <v>-16</v>
      </c>
      <c r="C12" s="261">
        <f t="shared" si="0"/>
        <v>3.375</v>
      </c>
      <c r="D12" s="237">
        <v>0</v>
      </c>
      <c r="E12" s="261" t="str">
        <f t="shared" si="1"/>
        <v>0</v>
      </c>
      <c r="F12" s="237">
        <v>-52.1</v>
      </c>
      <c r="G12" s="261">
        <f t="shared" si="2"/>
        <v>3.375</v>
      </c>
      <c r="H12" s="237">
        <v>0</v>
      </c>
      <c r="I12" s="261" t="str">
        <f t="shared" si="3"/>
        <v>0</v>
      </c>
      <c r="J12" s="243">
        <v>-0.19255500880244936</v>
      </c>
      <c r="K12" s="261">
        <f t="shared" si="4"/>
        <v>1.25</v>
      </c>
      <c r="L12" s="242">
        <v>-1.3493999999999999</v>
      </c>
      <c r="M12" s="261">
        <f t="shared" si="5"/>
        <v>1.25</v>
      </c>
      <c r="N12" s="237">
        <v>-8.74</v>
      </c>
      <c r="O12" s="261">
        <f t="shared" si="6"/>
        <v>3.375</v>
      </c>
      <c r="P12" s="237">
        <v>1</v>
      </c>
      <c r="Q12" s="261">
        <f t="shared" si="7"/>
        <v>0.5</v>
      </c>
      <c r="R12" s="237">
        <v>-8.3800000000000008</v>
      </c>
      <c r="S12" s="237">
        <f t="shared" si="8"/>
        <v>4.5</v>
      </c>
      <c r="T12" s="237">
        <v>0</v>
      </c>
      <c r="U12" s="261" t="str">
        <f t="shared" si="9"/>
        <v>0</v>
      </c>
      <c r="V12" s="242">
        <v>-0.1075</v>
      </c>
      <c r="W12" s="261">
        <f t="shared" si="10"/>
        <v>6.75</v>
      </c>
      <c r="X12" s="237">
        <v>0</v>
      </c>
      <c r="Y12" s="261" t="str">
        <f t="shared" si="11"/>
        <v>0</v>
      </c>
      <c r="Z12" s="237">
        <v>-11.38</v>
      </c>
      <c r="AA12" s="261">
        <f t="shared" si="12"/>
        <v>3.375</v>
      </c>
      <c r="AB12" s="237">
        <v>0</v>
      </c>
      <c r="AC12" s="261" t="str">
        <f t="shared" si="13"/>
        <v>0</v>
      </c>
      <c r="AD12" s="237">
        <v>0.90280000000000005</v>
      </c>
      <c r="AE12" s="261">
        <f t="shared" si="14"/>
        <v>1.125</v>
      </c>
      <c r="AF12" s="237">
        <v>0</v>
      </c>
      <c r="AG12" s="261" t="str">
        <f t="shared" si="15"/>
        <v>0</v>
      </c>
      <c r="AH12" s="242">
        <v>-0.36280000000000001</v>
      </c>
      <c r="AI12" s="261">
        <f>IF(AH12&gt;QUARTILE($AH$4:$AH$13,3),$B$75,IF(AND(AH12&lt;=QUARTILE($AH$4:$AH$13,3),AH12&gt;QUARTILE($AH$4:$AH$13,2)),$B$74,IF(AND(AH12&lt;=QUARTILE(AH12:$AH$13,2),AH12&gt;QUARTILE($AH$4:$AH$13,1)),$B$73,$B$72)))</f>
        <v>2.25</v>
      </c>
      <c r="AJ12" s="237">
        <v>0</v>
      </c>
      <c r="AK12" s="261" t="str">
        <f t="shared" si="16"/>
        <v>0</v>
      </c>
      <c r="AL12" s="268">
        <f t="shared" si="17"/>
        <v>31.125</v>
      </c>
      <c r="AM12" s="237" t="s">
        <v>659</v>
      </c>
    </row>
    <row r="13" spans="1:39">
      <c r="A13" s="237" t="s">
        <v>658</v>
      </c>
      <c r="B13" s="237">
        <v>-16.8</v>
      </c>
      <c r="C13" s="261">
        <f t="shared" si="0"/>
        <v>3.375</v>
      </c>
      <c r="D13" s="237">
        <v>0</v>
      </c>
      <c r="E13" s="261" t="str">
        <f t="shared" si="1"/>
        <v>0</v>
      </c>
      <c r="F13" s="237">
        <v>-75.2</v>
      </c>
      <c r="G13" s="261">
        <f t="shared" si="2"/>
        <v>3.375</v>
      </c>
      <c r="H13" s="237">
        <v>0</v>
      </c>
      <c r="I13" s="261" t="str">
        <f t="shared" si="3"/>
        <v>0</v>
      </c>
      <c r="J13" s="243">
        <v>-0.21750916505387097</v>
      </c>
      <c r="K13" s="261">
        <f t="shared" si="4"/>
        <v>1.25</v>
      </c>
      <c r="L13" s="237">
        <v>-451.9</v>
      </c>
      <c r="M13" s="261">
        <f t="shared" si="5"/>
        <v>1.25</v>
      </c>
      <c r="N13" s="237">
        <v>117.44</v>
      </c>
      <c r="O13" s="261">
        <f t="shared" si="6"/>
        <v>1.125</v>
      </c>
      <c r="P13" s="237">
        <v>0</v>
      </c>
      <c r="Q13" s="261" t="str">
        <f t="shared" si="7"/>
        <v>0</v>
      </c>
      <c r="R13" s="237">
        <v>-25.81</v>
      </c>
      <c r="S13" s="237">
        <f t="shared" si="8"/>
        <v>4.5</v>
      </c>
      <c r="T13" s="237">
        <v>0</v>
      </c>
      <c r="U13" s="261" t="str">
        <f t="shared" si="9"/>
        <v>0</v>
      </c>
      <c r="V13" s="242">
        <v>-0.33550000000000002</v>
      </c>
      <c r="W13" s="261">
        <f t="shared" si="10"/>
        <v>3.375</v>
      </c>
      <c r="X13" s="237">
        <v>0</v>
      </c>
      <c r="Y13" s="261" t="str">
        <f t="shared" si="11"/>
        <v>0</v>
      </c>
      <c r="Z13" s="237">
        <v>-31.89</v>
      </c>
      <c r="AA13" s="261">
        <f t="shared" si="12"/>
        <v>3.375</v>
      </c>
      <c r="AB13" s="237">
        <v>0</v>
      </c>
      <c r="AC13" s="261" t="str">
        <f t="shared" si="13"/>
        <v>0</v>
      </c>
      <c r="AD13" s="237">
        <v>0.74880000000000002</v>
      </c>
      <c r="AE13" s="261">
        <f t="shared" si="14"/>
        <v>1.125</v>
      </c>
      <c r="AF13" s="237">
        <v>1</v>
      </c>
      <c r="AG13" s="261">
        <f t="shared" si="15"/>
        <v>0.5</v>
      </c>
      <c r="AH13" s="242">
        <v>-0.91910000000000003</v>
      </c>
      <c r="AI13" s="261">
        <f>IF(AH13&gt;QUARTILE($AH$4:$AH$13,3),$B$75,IF(AND(AH13&lt;=QUARTILE($AH$4:$AH$13,3),AH13&gt;QUARTILE($AH$4:$AH$13,2)),$B$74,IF(AND(AH13&lt;=QUARTILE(AH13:$AH$13,2),AH13&gt;QUARTILE($AH$4:$AH$13,1)),$B$73,$B$72)))</f>
        <v>2.25</v>
      </c>
      <c r="AJ13" s="237">
        <v>0</v>
      </c>
      <c r="AK13" s="261" t="str">
        <f t="shared" si="16"/>
        <v>0</v>
      </c>
      <c r="AL13" s="268">
        <f t="shared" si="17"/>
        <v>25.5</v>
      </c>
      <c r="AM13" s="237" t="s">
        <v>658</v>
      </c>
    </row>
    <row r="15" spans="1:39" ht="18.75">
      <c r="A15" s="267" t="s">
        <v>60</v>
      </c>
      <c r="B15" s="267" t="s">
        <v>59</v>
      </c>
      <c r="C15" s="267"/>
      <c r="D15" s="267"/>
      <c r="E15" s="267"/>
      <c r="F15" s="267" t="s">
        <v>58</v>
      </c>
      <c r="G15" s="267"/>
      <c r="H15" s="266"/>
      <c r="I15" s="266"/>
      <c r="J15" s="266"/>
      <c r="K15" s="266"/>
      <c r="L15" s="266" t="s">
        <v>57</v>
      </c>
      <c r="M15" s="266"/>
    </row>
    <row r="16" spans="1:39" ht="17.25">
      <c r="A16" s="265" t="s">
        <v>56</v>
      </c>
      <c r="B16" s="256">
        <v>13.5</v>
      </c>
      <c r="C16" s="256"/>
      <c r="D16" s="264"/>
      <c r="E16" s="264"/>
      <c r="F16" s="256">
        <v>1.5</v>
      </c>
      <c r="G16" s="256"/>
      <c r="H16" s="262"/>
      <c r="I16" s="262"/>
      <c r="J16" s="262"/>
      <c r="K16" s="262"/>
      <c r="L16" s="256">
        <v>15</v>
      </c>
      <c r="M16" s="256"/>
    </row>
    <row r="17" spans="1:13">
      <c r="A17" s="252" t="s">
        <v>657</v>
      </c>
      <c r="B17" s="250">
        <f>B16*0.25</f>
        <v>3.375</v>
      </c>
      <c r="C17" s="250"/>
      <c r="D17" s="250"/>
      <c r="E17" s="250"/>
      <c r="F17" s="250" t="s">
        <v>7</v>
      </c>
      <c r="G17" s="250"/>
      <c r="H17" s="236">
        <v>1.5</v>
      </c>
    </row>
    <row r="18" spans="1:13">
      <c r="A18" s="252" t="s">
        <v>656</v>
      </c>
      <c r="B18" s="250">
        <f>B16*0.5</f>
        <v>6.75</v>
      </c>
      <c r="C18" s="250"/>
      <c r="D18" s="250"/>
      <c r="E18" s="250"/>
      <c r="F18" s="250" t="s">
        <v>4</v>
      </c>
      <c r="G18" s="250"/>
      <c r="H18" s="236">
        <v>0</v>
      </c>
    </row>
    <row r="19" spans="1:13">
      <c r="A19" s="252" t="s">
        <v>655</v>
      </c>
      <c r="B19" s="250">
        <f>B16*0.75</f>
        <v>10.125</v>
      </c>
      <c r="D19" s="250"/>
      <c r="E19" s="250"/>
      <c r="F19" s="250"/>
      <c r="G19" s="250"/>
    </row>
    <row r="20" spans="1:13">
      <c r="A20" s="252" t="s">
        <v>654</v>
      </c>
      <c r="B20" s="250">
        <f>B16*1</f>
        <v>13.5</v>
      </c>
      <c r="C20" s="261"/>
      <c r="D20" s="251"/>
      <c r="E20" s="251"/>
      <c r="F20" s="250"/>
      <c r="G20" s="250"/>
    </row>
    <row r="21" spans="1:13">
      <c r="A21" s="252"/>
      <c r="B21" s="250"/>
      <c r="C21" s="261"/>
      <c r="D21" s="251"/>
      <c r="E21" s="251"/>
      <c r="F21" s="250"/>
      <c r="G21" s="250"/>
    </row>
    <row r="22" spans="1:13" ht="17.25">
      <c r="A22" s="260" t="s">
        <v>51</v>
      </c>
      <c r="B22" s="256">
        <v>13.5</v>
      </c>
      <c r="C22" s="261"/>
      <c r="D22" s="251"/>
      <c r="E22" s="251"/>
      <c r="F22" s="250"/>
      <c r="G22" s="250"/>
    </row>
    <row r="23" spans="1:13">
      <c r="A23" s="252" t="s">
        <v>653</v>
      </c>
      <c r="B23" s="250">
        <f>B22*0.25</f>
        <v>3.375</v>
      </c>
      <c r="C23" s="261"/>
      <c r="D23" s="263"/>
      <c r="E23" s="263"/>
      <c r="F23" s="256">
        <v>1.5</v>
      </c>
      <c r="G23" s="256"/>
      <c r="H23" s="262"/>
      <c r="I23" s="262"/>
      <c r="J23" s="262"/>
      <c r="K23" s="262"/>
      <c r="L23" s="256">
        <v>15</v>
      </c>
      <c r="M23" s="256"/>
    </row>
    <row r="24" spans="1:13">
      <c r="A24" s="252" t="s">
        <v>652</v>
      </c>
      <c r="B24" s="250">
        <f>B22*0.5</f>
        <v>6.75</v>
      </c>
      <c r="C24" s="261"/>
      <c r="D24" s="251"/>
      <c r="E24" s="251"/>
      <c r="F24" s="250" t="s">
        <v>7</v>
      </c>
      <c r="G24" s="250"/>
      <c r="H24" s="236">
        <v>1.5</v>
      </c>
    </row>
    <row r="25" spans="1:13">
      <c r="A25" s="252" t="s">
        <v>651</v>
      </c>
      <c r="B25" s="250">
        <f>B22*0.75</f>
        <v>10.125</v>
      </c>
      <c r="C25" s="261"/>
      <c r="D25" s="251"/>
      <c r="E25" s="251"/>
      <c r="F25" s="250" t="s">
        <v>4</v>
      </c>
      <c r="G25" s="250"/>
      <c r="H25" s="236">
        <v>0</v>
      </c>
    </row>
    <row r="26" spans="1:13">
      <c r="A26" s="252" t="s">
        <v>650</v>
      </c>
      <c r="B26" s="250">
        <f>B22*1</f>
        <v>13.5</v>
      </c>
      <c r="C26" s="261"/>
      <c r="D26" s="251"/>
      <c r="E26" s="251"/>
      <c r="F26" s="250"/>
      <c r="G26" s="250"/>
    </row>
    <row r="27" spans="1:13">
      <c r="A27" s="252"/>
      <c r="B27" s="250"/>
      <c r="C27" s="261"/>
      <c r="D27" s="251"/>
      <c r="E27" s="251"/>
      <c r="F27" s="250"/>
      <c r="G27" s="250"/>
    </row>
    <row r="28" spans="1:13">
      <c r="A28" s="252"/>
      <c r="B28" s="250"/>
      <c r="C28" s="261"/>
      <c r="D28" s="251"/>
      <c r="E28" s="251"/>
      <c r="F28" s="250"/>
      <c r="G28" s="250"/>
    </row>
    <row r="29" spans="1:13" ht="17.25">
      <c r="A29" s="260" t="s">
        <v>46</v>
      </c>
      <c r="B29" s="256">
        <v>5</v>
      </c>
      <c r="C29" s="255"/>
      <c r="D29" s="251"/>
      <c r="E29" s="251"/>
      <c r="F29" s="250"/>
      <c r="G29" s="250"/>
      <c r="L29" s="249">
        <v>5</v>
      </c>
      <c r="M29" s="249"/>
    </row>
    <row r="30" spans="1:13">
      <c r="A30" s="252" t="s">
        <v>649</v>
      </c>
      <c r="B30" s="250">
        <f>B29*0.25</f>
        <v>1.25</v>
      </c>
      <c r="C30" s="251"/>
      <c r="D30" s="251" t="s">
        <v>8</v>
      </c>
      <c r="E30" s="242">
        <f>QUARTILE(J4:J13,1)</f>
        <v>-0.16204021130676216</v>
      </c>
      <c r="F30" s="250"/>
      <c r="G30" s="250"/>
    </row>
    <row r="31" spans="1:13">
      <c r="A31" s="252" t="s">
        <v>648</v>
      </c>
      <c r="B31" s="250">
        <f>B29*0.5</f>
        <v>2.5</v>
      </c>
      <c r="C31" s="251"/>
      <c r="D31" s="251" t="s">
        <v>5</v>
      </c>
      <c r="E31" s="242">
        <f>QUARTILE(J4:J13,2)</f>
        <v>-3.8038540111475894E-2</v>
      </c>
      <c r="F31" s="250"/>
      <c r="G31" s="250"/>
    </row>
    <row r="32" spans="1:13">
      <c r="A32" s="252" t="s">
        <v>647</v>
      </c>
      <c r="B32" s="250">
        <f>B29*0.75</f>
        <v>3.75</v>
      </c>
      <c r="C32" s="251"/>
      <c r="D32" s="251" t="s">
        <v>2</v>
      </c>
      <c r="E32" s="242">
        <f>QUARTILE(J4:J13,3)</f>
        <v>6.35108991564131E-2</v>
      </c>
      <c r="F32" s="250"/>
      <c r="G32" s="250"/>
    </row>
    <row r="33" spans="1:13">
      <c r="A33" s="252" t="s">
        <v>646</v>
      </c>
      <c r="B33" s="250">
        <f>B29*1</f>
        <v>5</v>
      </c>
      <c r="C33" s="251"/>
      <c r="D33" s="251"/>
      <c r="E33" s="251"/>
      <c r="F33" s="250"/>
      <c r="G33" s="250"/>
    </row>
    <row r="34" spans="1:13">
      <c r="A34" s="252"/>
      <c r="B34" s="250"/>
      <c r="C34" s="251"/>
      <c r="D34" s="251"/>
      <c r="E34" s="251"/>
      <c r="F34" s="250"/>
      <c r="G34" s="250"/>
    </row>
    <row r="35" spans="1:13" ht="17.25">
      <c r="A35" s="260" t="s">
        <v>41</v>
      </c>
      <c r="B35" s="256">
        <v>5</v>
      </c>
      <c r="C35" s="255"/>
      <c r="D35" s="251"/>
      <c r="E35" s="251"/>
      <c r="F35" s="250"/>
      <c r="G35" s="250"/>
      <c r="L35" s="249">
        <v>5</v>
      </c>
      <c r="M35" s="249"/>
    </row>
    <row r="36" spans="1:13">
      <c r="A36" s="259" t="s">
        <v>645</v>
      </c>
      <c r="B36" s="250">
        <f>B35*0.25</f>
        <v>1.25</v>
      </c>
      <c r="C36" s="251"/>
      <c r="D36" s="251" t="s">
        <v>8</v>
      </c>
      <c r="E36" s="253">
        <f>QUARTILE(L4:L13,1)</f>
        <v>5.8999999999999997E-2</v>
      </c>
      <c r="F36" s="250"/>
      <c r="G36" s="250"/>
    </row>
    <row r="37" spans="1:13">
      <c r="A37" s="259" t="s">
        <v>644</v>
      </c>
      <c r="B37" s="250">
        <f>B35*0.5</f>
        <v>2.5</v>
      </c>
      <c r="C37" s="251"/>
      <c r="D37" s="251" t="s">
        <v>5</v>
      </c>
      <c r="E37" s="253">
        <f>QUARTILE(L4:L13,2)</f>
        <v>0.35650000000000004</v>
      </c>
      <c r="F37" s="250"/>
      <c r="G37" s="250"/>
    </row>
    <row r="38" spans="1:13">
      <c r="A38" s="259" t="s">
        <v>643</v>
      </c>
      <c r="B38" s="250">
        <f>B35*0.75</f>
        <v>3.75</v>
      </c>
      <c r="C38" s="251"/>
      <c r="D38" s="251" t="s">
        <v>2</v>
      </c>
      <c r="E38" s="253">
        <f>QUARTILE(L4:L13,3)</f>
        <v>1.199425</v>
      </c>
      <c r="F38" s="250"/>
      <c r="G38" s="250"/>
    </row>
    <row r="39" spans="1:13">
      <c r="A39" s="259" t="s">
        <v>642</v>
      </c>
      <c r="B39" s="250">
        <f>B35*1</f>
        <v>5</v>
      </c>
      <c r="C39" s="251"/>
      <c r="D39" s="251"/>
      <c r="E39" s="251"/>
      <c r="F39" s="250"/>
      <c r="G39" s="250"/>
    </row>
    <row r="40" spans="1:13">
      <c r="A40" s="252"/>
      <c r="B40" s="250"/>
      <c r="C40" s="251"/>
      <c r="D40" s="251"/>
      <c r="E40" s="251"/>
      <c r="F40" s="250"/>
      <c r="G40" s="250"/>
    </row>
    <row r="41" spans="1:13" ht="17.25">
      <c r="A41" s="257" t="s">
        <v>36</v>
      </c>
      <c r="B41" s="256">
        <v>4.5</v>
      </c>
      <c r="C41" s="255"/>
      <c r="D41" s="255"/>
      <c r="E41" s="255"/>
      <c r="F41" s="254">
        <v>0.5</v>
      </c>
      <c r="G41" s="254"/>
      <c r="H41" s="258"/>
      <c r="I41" s="258"/>
      <c r="J41" s="258"/>
      <c r="K41" s="258"/>
      <c r="L41" s="254">
        <v>5</v>
      </c>
      <c r="M41" s="254"/>
    </row>
    <row r="42" spans="1:13">
      <c r="A42" s="252" t="s">
        <v>641</v>
      </c>
      <c r="B42" s="250">
        <v>4.5</v>
      </c>
      <c r="C42" s="251"/>
      <c r="D42" s="251" t="s">
        <v>8</v>
      </c>
      <c r="E42" s="251">
        <f>QUARTILE(N4:N13,1)</f>
        <v>-30.9925</v>
      </c>
      <c r="F42" s="250" t="s">
        <v>7</v>
      </c>
      <c r="G42" s="250"/>
      <c r="H42" s="236">
        <v>0.5</v>
      </c>
    </row>
    <row r="43" spans="1:13">
      <c r="A43" s="252" t="s">
        <v>640</v>
      </c>
      <c r="B43" s="250">
        <v>3.375</v>
      </c>
      <c r="C43" s="251"/>
      <c r="D43" s="251" t="s">
        <v>5</v>
      </c>
      <c r="E43" s="251">
        <f>QUARTILE(N4:N13,2)</f>
        <v>18.939999999999998</v>
      </c>
      <c r="F43" s="250" t="s">
        <v>4</v>
      </c>
      <c r="G43" s="250"/>
      <c r="H43" s="236">
        <v>0</v>
      </c>
    </row>
    <row r="44" spans="1:13">
      <c r="A44" s="252" t="s">
        <v>639</v>
      </c>
      <c r="B44" s="250">
        <v>2.25</v>
      </c>
      <c r="C44" s="251"/>
      <c r="D44" s="251" t="s">
        <v>2</v>
      </c>
      <c r="E44" s="251">
        <f>QUARTILE(N4:N13,3)</f>
        <v>73.865000000000009</v>
      </c>
      <c r="F44" s="250"/>
      <c r="G44" s="250"/>
    </row>
    <row r="45" spans="1:13">
      <c r="A45" s="252" t="s">
        <v>638</v>
      </c>
      <c r="B45" s="250">
        <v>1.125</v>
      </c>
      <c r="C45" s="251"/>
      <c r="D45" s="251"/>
      <c r="E45" s="251"/>
      <c r="F45" s="250"/>
      <c r="G45" s="250"/>
    </row>
    <row r="46" spans="1:13">
      <c r="A46" s="252"/>
      <c r="B46" s="250"/>
      <c r="C46" s="251"/>
      <c r="D46" s="251"/>
      <c r="E46" s="251"/>
      <c r="F46" s="250"/>
      <c r="G46" s="250"/>
    </row>
    <row r="47" spans="1:13" ht="17.25">
      <c r="A47" s="257" t="s">
        <v>31</v>
      </c>
      <c r="B47" s="256">
        <v>9</v>
      </c>
      <c r="C47" s="255"/>
      <c r="D47" s="255"/>
      <c r="E47" s="255"/>
      <c r="F47" s="254">
        <v>1</v>
      </c>
      <c r="G47" s="254"/>
      <c r="H47" s="258"/>
      <c r="I47" s="258"/>
      <c r="J47" s="258"/>
      <c r="K47" s="258"/>
      <c r="L47" s="254">
        <v>10</v>
      </c>
      <c r="M47" s="254"/>
    </row>
    <row r="48" spans="1:13">
      <c r="A48" s="252" t="s">
        <v>637</v>
      </c>
      <c r="B48" s="250">
        <f>B47*0.25</f>
        <v>2.25</v>
      </c>
      <c r="C48" s="251"/>
      <c r="D48" s="251"/>
      <c r="E48" s="251"/>
      <c r="F48" s="250" t="s">
        <v>7</v>
      </c>
      <c r="G48" s="250"/>
      <c r="H48" s="236">
        <v>1</v>
      </c>
    </row>
    <row r="49" spans="1:13">
      <c r="A49" s="252" t="s">
        <v>636</v>
      </c>
      <c r="B49" s="250">
        <f>B47*0.5</f>
        <v>4.5</v>
      </c>
      <c r="C49" s="251"/>
      <c r="D49" s="251"/>
      <c r="E49" s="251"/>
      <c r="F49" s="250" t="s">
        <v>4</v>
      </c>
      <c r="G49" s="250"/>
      <c r="H49" s="236">
        <v>0</v>
      </c>
    </row>
    <row r="50" spans="1:13">
      <c r="A50" s="252" t="s">
        <v>635</v>
      </c>
      <c r="B50" s="250">
        <f>B47*0.75</f>
        <v>6.75</v>
      </c>
      <c r="C50" s="251"/>
      <c r="D50" s="251"/>
      <c r="E50" s="251"/>
      <c r="F50" s="250"/>
      <c r="G50" s="250"/>
    </row>
    <row r="51" spans="1:13">
      <c r="A51" s="252" t="s">
        <v>634</v>
      </c>
      <c r="B51" s="250">
        <f>B47*1</f>
        <v>9</v>
      </c>
      <c r="C51" s="251"/>
      <c r="D51" s="251"/>
      <c r="E51" s="251"/>
      <c r="F51" s="250"/>
      <c r="G51" s="250"/>
    </row>
    <row r="52" spans="1:13">
      <c r="A52" s="252"/>
      <c r="B52" s="250"/>
      <c r="C52" s="251"/>
      <c r="D52" s="251"/>
      <c r="E52" s="251"/>
      <c r="F52" s="250"/>
      <c r="G52" s="250"/>
    </row>
    <row r="53" spans="1:13" ht="17.25">
      <c r="A53" s="257" t="s">
        <v>26</v>
      </c>
      <c r="B53" s="256">
        <v>13.5</v>
      </c>
      <c r="C53" s="255"/>
      <c r="D53" s="255"/>
      <c r="E53" s="255"/>
      <c r="F53" s="254">
        <v>1.5</v>
      </c>
      <c r="G53" s="254"/>
      <c r="H53" s="258"/>
      <c r="I53" s="258"/>
      <c r="J53" s="258"/>
      <c r="K53" s="258"/>
      <c r="L53" s="254">
        <v>15</v>
      </c>
      <c r="M53" s="254"/>
    </row>
    <row r="54" spans="1:13">
      <c r="A54" s="252" t="s">
        <v>633</v>
      </c>
      <c r="B54" s="250">
        <f>B53*0.25</f>
        <v>3.375</v>
      </c>
      <c r="C54" s="251"/>
      <c r="D54" s="251"/>
      <c r="E54" s="251"/>
      <c r="F54" s="250" t="s">
        <v>7</v>
      </c>
      <c r="G54" s="250"/>
      <c r="H54" s="236">
        <v>1.5</v>
      </c>
    </row>
    <row r="55" spans="1:13">
      <c r="A55" s="252" t="s">
        <v>632</v>
      </c>
      <c r="B55" s="250">
        <f>B53*0.5</f>
        <v>6.75</v>
      </c>
      <c r="C55" s="251"/>
      <c r="D55" s="251"/>
      <c r="E55" s="251"/>
      <c r="F55" s="250" t="s">
        <v>4</v>
      </c>
      <c r="G55" s="250"/>
      <c r="H55" s="236">
        <v>0</v>
      </c>
    </row>
    <row r="56" spans="1:13">
      <c r="A56" s="252" t="s">
        <v>631</v>
      </c>
      <c r="B56" s="250">
        <f>B53*0.75</f>
        <v>10.125</v>
      </c>
      <c r="C56" s="251"/>
      <c r="D56" s="251"/>
      <c r="E56" s="251"/>
      <c r="F56" s="250"/>
      <c r="G56" s="250"/>
    </row>
    <row r="57" spans="1:13">
      <c r="A57" s="252" t="s">
        <v>630</v>
      </c>
      <c r="B57" s="250">
        <f>B53*1</f>
        <v>13.5</v>
      </c>
      <c r="C57" s="251"/>
      <c r="D57" s="251"/>
      <c r="E57" s="251"/>
      <c r="F57" s="250"/>
      <c r="G57" s="250"/>
    </row>
    <row r="58" spans="1:13">
      <c r="A58" s="252"/>
      <c r="B58" s="250"/>
      <c r="C58" s="251"/>
      <c r="D58" s="251"/>
      <c r="E58" s="251"/>
      <c r="F58" s="250"/>
      <c r="G58" s="250"/>
    </row>
    <row r="59" spans="1:13" ht="17.25">
      <c r="A59" s="257" t="s">
        <v>21</v>
      </c>
      <c r="B59" s="256">
        <v>13.5</v>
      </c>
      <c r="C59" s="255"/>
      <c r="D59" s="255"/>
      <c r="E59" s="255"/>
      <c r="F59" s="254">
        <v>1.5</v>
      </c>
      <c r="G59" s="254"/>
      <c r="H59" s="258"/>
      <c r="I59" s="258"/>
      <c r="J59" s="258"/>
      <c r="K59" s="258"/>
      <c r="L59" s="254">
        <v>15</v>
      </c>
      <c r="M59" s="254"/>
    </row>
    <row r="60" spans="1:13">
      <c r="A60" s="252" t="s">
        <v>629</v>
      </c>
      <c r="B60" s="250">
        <f>B59*0.25</f>
        <v>3.375</v>
      </c>
      <c r="C60" s="251"/>
      <c r="D60" s="251"/>
      <c r="E60" s="251"/>
      <c r="F60" s="250" t="s">
        <v>7</v>
      </c>
      <c r="G60" s="250"/>
      <c r="H60" s="236">
        <v>1.5</v>
      </c>
    </row>
    <row r="61" spans="1:13">
      <c r="A61" s="252" t="s">
        <v>628</v>
      </c>
      <c r="B61" s="250">
        <f>B59*0.5</f>
        <v>6.75</v>
      </c>
      <c r="C61" s="251"/>
      <c r="D61" s="251"/>
      <c r="E61" s="251"/>
      <c r="F61" s="250" t="s">
        <v>4</v>
      </c>
      <c r="G61" s="250"/>
      <c r="H61" s="236">
        <v>0</v>
      </c>
    </row>
    <row r="62" spans="1:13">
      <c r="A62" s="252" t="s">
        <v>627</v>
      </c>
      <c r="B62" s="250">
        <f>B59*0.75</f>
        <v>10.125</v>
      </c>
      <c r="C62" s="251"/>
      <c r="D62" s="251"/>
      <c r="E62" s="251"/>
      <c r="F62" s="250"/>
      <c r="G62" s="250"/>
    </row>
    <row r="63" spans="1:13">
      <c r="A63" s="252" t="s">
        <v>626</v>
      </c>
      <c r="B63" s="250">
        <f>B59*1</f>
        <v>13.5</v>
      </c>
      <c r="C63" s="251"/>
      <c r="D63" s="251"/>
      <c r="E63" s="251"/>
      <c r="F63" s="250"/>
      <c r="G63" s="250"/>
    </row>
    <row r="64" spans="1:13">
      <c r="A64" s="252"/>
      <c r="B64" s="250"/>
      <c r="C64" s="251"/>
      <c r="D64" s="251"/>
      <c r="E64" s="251"/>
      <c r="F64" s="250"/>
      <c r="G64" s="250"/>
    </row>
    <row r="65" spans="1:13" ht="17.25">
      <c r="A65" s="257" t="s">
        <v>16</v>
      </c>
      <c r="B65" s="256">
        <v>4.5</v>
      </c>
      <c r="C65" s="255"/>
      <c r="D65" s="255"/>
      <c r="E65" s="255"/>
      <c r="F65" s="254">
        <v>0.5</v>
      </c>
      <c r="G65" s="254"/>
      <c r="H65" s="258"/>
      <c r="I65" s="258"/>
      <c r="J65" s="258"/>
      <c r="K65" s="258"/>
      <c r="L65" s="254">
        <v>5</v>
      </c>
      <c r="M65" s="254"/>
    </row>
    <row r="66" spans="1:13">
      <c r="A66" s="252" t="s">
        <v>625</v>
      </c>
      <c r="B66" s="250">
        <f>B65*0.25</f>
        <v>1.125</v>
      </c>
      <c r="C66" s="251"/>
      <c r="D66" s="251" t="s">
        <v>8</v>
      </c>
      <c r="E66" s="251">
        <f>QUARTILE(AD4:AD13,1)</f>
        <v>0.93115000000000003</v>
      </c>
      <c r="F66" s="250" t="s">
        <v>7</v>
      </c>
      <c r="G66" s="250"/>
      <c r="H66" s="236">
        <v>0.5</v>
      </c>
    </row>
    <row r="67" spans="1:13">
      <c r="A67" s="252" t="s">
        <v>624</v>
      </c>
      <c r="B67" s="250">
        <f>B65*0.5</f>
        <v>2.25</v>
      </c>
      <c r="C67" s="251"/>
      <c r="D67" s="251" t="s">
        <v>5</v>
      </c>
      <c r="E67" s="251">
        <f>QUARTILE(AD4:AD13,2)</f>
        <v>1.0002499999999999</v>
      </c>
      <c r="F67" s="250" t="s">
        <v>4</v>
      </c>
      <c r="G67" s="250"/>
      <c r="H67" s="236">
        <v>0</v>
      </c>
    </row>
    <row r="68" spans="1:13">
      <c r="A68" s="252" t="s">
        <v>623</v>
      </c>
      <c r="B68" s="250">
        <f>B65*0.75</f>
        <v>3.375</v>
      </c>
      <c r="C68" s="251"/>
      <c r="D68" s="251" t="s">
        <v>2</v>
      </c>
      <c r="E68" s="251">
        <f>QUARTILE(AD4:AD13,3)</f>
        <v>1.062125</v>
      </c>
      <c r="F68" s="250"/>
      <c r="G68" s="250"/>
    </row>
    <row r="69" spans="1:13">
      <c r="A69" s="252" t="s">
        <v>622</v>
      </c>
      <c r="B69" s="250">
        <f>B65*1</f>
        <v>4.5</v>
      </c>
      <c r="C69" s="251"/>
      <c r="D69" s="251"/>
      <c r="E69" s="251"/>
      <c r="F69" s="250"/>
      <c r="G69" s="250"/>
    </row>
    <row r="70" spans="1:13">
      <c r="A70" s="252"/>
      <c r="B70" s="250"/>
      <c r="C70" s="251"/>
      <c r="D70" s="251"/>
      <c r="E70" s="251"/>
      <c r="F70" s="250"/>
      <c r="G70" s="250"/>
    </row>
    <row r="71" spans="1:13" ht="17.25">
      <c r="A71" s="257" t="s">
        <v>11</v>
      </c>
      <c r="B71" s="256">
        <v>9</v>
      </c>
      <c r="C71" s="255"/>
      <c r="D71" s="255"/>
      <c r="E71" s="255"/>
      <c r="F71" s="254">
        <v>1</v>
      </c>
      <c r="G71" s="254"/>
      <c r="H71" s="254"/>
      <c r="I71" s="254"/>
      <c r="J71" s="254"/>
      <c r="K71" s="254"/>
      <c r="L71" s="254">
        <v>10</v>
      </c>
      <c r="M71" s="254"/>
    </row>
    <row r="72" spans="1:13">
      <c r="A72" s="252" t="s">
        <v>621</v>
      </c>
      <c r="B72" s="250">
        <f>B71*0.25</f>
        <v>2.25</v>
      </c>
      <c r="C72" s="251"/>
      <c r="D72" s="251" t="s">
        <v>8</v>
      </c>
      <c r="E72" s="253">
        <f>QUARTILE(AH4:AH13,1)</f>
        <v>4.8175000000000003E-2</v>
      </c>
      <c r="F72" s="250" t="s">
        <v>7</v>
      </c>
      <c r="G72" s="250"/>
      <c r="H72" s="236">
        <v>1</v>
      </c>
    </row>
    <row r="73" spans="1:13">
      <c r="A73" s="252" t="s">
        <v>620</v>
      </c>
      <c r="B73" s="250">
        <f>B71*0.5</f>
        <v>4.5</v>
      </c>
      <c r="C73" s="251"/>
      <c r="D73" s="251" t="s">
        <v>5</v>
      </c>
      <c r="E73" s="253">
        <f>QUARTILE(AH4:AH84,2)</f>
        <v>0.26</v>
      </c>
      <c r="F73" s="250" t="s">
        <v>4</v>
      </c>
      <c r="G73" s="250"/>
      <c r="H73" s="236">
        <v>0</v>
      </c>
    </row>
    <row r="74" spans="1:13">
      <c r="A74" s="252" t="s">
        <v>619</v>
      </c>
      <c r="B74" s="250">
        <f>B71*0.75</f>
        <v>6.75</v>
      </c>
      <c r="C74" s="251"/>
      <c r="D74" s="251" t="s">
        <v>2</v>
      </c>
      <c r="E74" s="253">
        <f>QUARTILE(AH4:AH13,3)</f>
        <v>0.326575</v>
      </c>
      <c r="F74" s="250"/>
      <c r="G74" s="250"/>
    </row>
    <row r="75" spans="1:13">
      <c r="A75" s="252" t="s">
        <v>618</v>
      </c>
      <c r="B75" s="250">
        <f>B71*1</f>
        <v>9</v>
      </c>
      <c r="C75" s="251"/>
      <c r="D75" s="251"/>
      <c r="E75" s="251"/>
      <c r="F75" s="250"/>
      <c r="G75" s="250"/>
    </row>
    <row r="76" spans="1:13">
      <c r="B76" s="251"/>
      <c r="C76" s="251"/>
      <c r="D76" s="251"/>
      <c r="E76" s="251"/>
      <c r="F76" s="250"/>
      <c r="G76" s="250"/>
    </row>
    <row r="77" spans="1:13" ht="18.75">
      <c r="B77" s="530" t="s">
        <v>0</v>
      </c>
      <c r="C77" s="530"/>
      <c r="D77" s="530"/>
      <c r="E77" s="530"/>
      <c r="F77" s="530"/>
      <c r="G77" s="530"/>
      <c r="H77" s="530"/>
      <c r="I77" s="530"/>
      <c r="J77" s="530"/>
      <c r="K77" s="249"/>
      <c r="L77" s="248">
        <f>SUM(L16:L74)</f>
        <v>100</v>
      </c>
      <c r="M77" s="248"/>
    </row>
    <row r="82" spans="1:39">
      <c r="A82" s="236" t="s">
        <v>617</v>
      </c>
    </row>
    <row r="84" spans="1:39">
      <c r="A84" s="237" t="s">
        <v>616</v>
      </c>
      <c r="B84" s="237">
        <v>-57.2</v>
      </c>
      <c r="C84" s="237">
        <v>2.8125</v>
      </c>
      <c r="D84" s="237">
        <v>0</v>
      </c>
      <c r="E84" s="237">
        <v>0</v>
      </c>
      <c r="F84" s="247">
        <v>80.8</v>
      </c>
      <c r="G84" s="237">
        <v>11.25</v>
      </c>
      <c r="H84" s="237">
        <v>0</v>
      </c>
      <c r="I84" s="237">
        <v>0</v>
      </c>
      <c r="J84" s="243">
        <v>-0.21555573976177922</v>
      </c>
      <c r="K84" s="241">
        <v>1.25</v>
      </c>
      <c r="L84" s="242">
        <v>1.4999999999999999E-2</v>
      </c>
      <c r="M84" s="241">
        <v>1.25</v>
      </c>
      <c r="N84" s="237">
        <v>38.380000000000003</v>
      </c>
      <c r="O84" s="241">
        <v>2.125</v>
      </c>
      <c r="P84" s="237">
        <v>1</v>
      </c>
      <c r="Q84" s="237">
        <v>0.75</v>
      </c>
      <c r="R84" s="246">
        <v>-63.03</v>
      </c>
      <c r="S84" s="237">
        <v>2</v>
      </c>
      <c r="T84" s="237">
        <v>0</v>
      </c>
      <c r="U84" s="237">
        <v>0</v>
      </c>
      <c r="V84" s="245">
        <v>-0.67369999999999997</v>
      </c>
      <c r="W84" s="237">
        <v>3</v>
      </c>
      <c r="X84" s="237">
        <v>0</v>
      </c>
      <c r="Y84" s="237">
        <v>0</v>
      </c>
      <c r="Z84" s="237">
        <v>-82.49</v>
      </c>
      <c r="AA84" s="237">
        <v>3</v>
      </c>
      <c r="AB84" s="237">
        <v>0</v>
      </c>
      <c r="AC84" s="237">
        <v>0</v>
      </c>
      <c r="AD84" s="237">
        <v>0.59740000000000004</v>
      </c>
      <c r="AE84" s="241">
        <v>1.0625</v>
      </c>
      <c r="AF84" s="237">
        <v>0</v>
      </c>
      <c r="AG84" s="237">
        <v>0</v>
      </c>
      <c r="AH84" s="240">
        <v>0.58330000000000004</v>
      </c>
      <c r="AI84" s="239">
        <v>8.5</v>
      </c>
      <c r="AJ84" s="237">
        <v>0</v>
      </c>
      <c r="AK84" s="237">
        <v>0</v>
      </c>
      <c r="AL84" s="238">
        <f t="shared" ref="AL84:AL93" si="18">C84+E84+G84+I84+K84+M84+O84+Q84+S84+U84+W84+Y84+AA84+AC84+AE84+AG84+AI84+AK84</f>
        <v>37</v>
      </c>
      <c r="AM84" s="237" t="s">
        <v>616</v>
      </c>
    </row>
    <row r="85" spans="1:39">
      <c r="A85" s="237" t="s">
        <v>615</v>
      </c>
      <c r="B85" s="237">
        <v>4.7</v>
      </c>
      <c r="C85" s="237">
        <v>8.4375</v>
      </c>
      <c r="D85" s="237">
        <v>1</v>
      </c>
      <c r="E85" s="237">
        <v>3.75</v>
      </c>
      <c r="F85" s="237">
        <v>9.5</v>
      </c>
      <c r="G85" s="237">
        <v>8.4375</v>
      </c>
      <c r="H85" s="237">
        <v>0</v>
      </c>
      <c r="I85" s="237">
        <v>0</v>
      </c>
      <c r="J85" s="243">
        <v>-1.2283916583684329E-2</v>
      </c>
      <c r="K85" s="241">
        <v>3.75</v>
      </c>
      <c r="L85" s="242">
        <v>-0.17799999999999999</v>
      </c>
      <c r="M85" s="241">
        <v>1.25</v>
      </c>
      <c r="N85" s="237">
        <v>101.11</v>
      </c>
      <c r="O85" s="241">
        <v>1.0625</v>
      </c>
      <c r="P85" s="237">
        <v>1</v>
      </c>
      <c r="Q85" s="237">
        <v>0.75</v>
      </c>
      <c r="R85" s="237">
        <v>12.29</v>
      </c>
      <c r="S85" s="237">
        <v>6</v>
      </c>
      <c r="T85" s="237">
        <v>0</v>
      </c>
      <c r="U85" s="237">
        <v>0</v>
      </c>
      <c r="V85" s="242">
        <v>6.2300000000000001E-2</v>
      </c>
      <c r="W85" s="237">
        <v>9</v>
      </c>
      <c r="X85" s="237">
        <v>1</v>
      </c>
      <c r="Y85" s="237">
        <v>3</v>
      </c>
      <c r="Z85" s="237">
        <v>2.2999999999999998</v>
      </c>
      <c r="AA85" s="237">
        <v>9</v>
      </c>
      <c r="AB85" s="237">
        <v>0</v>
      </c>
      <c r="AC85" s="237">
        <v>0</v>
      </c>
      <c r="AD85" s="237">
        <v>1.0664</v>
      </c>
      <c r="AE85" s="241">
        <v>4.25</v>
      </c>
      <c r="AF85" s="237">
        <v>0</v>
      </c>
      <c r="AG85" s="237">
        <v>0</v>
      </c>
      <c r="AH85" s="240">
        <v>8.4199999999999997E-2</v>
      </c>
      <c r="AI85" s="239">
        <v>4.25</v>
      </c>
      <c r="AJ85" s="237">
        <v>0</v>
      </c>
      <c r="AK85" s="237">
        <v>0</v>
      </c>
      <c r="AL85" s="238">
        <f t="shared" si="18"/>
        <v>62.9375</v>
      </c>
      <c r="AM85" s="237" t="s">
        <v>615</v>
      </c>
    </row>
    <row r="86" spans="1:39">
      <c r="A86" s="237" t="s">
        <v>614</v>
      </c>
      <c r="B86" s="237">
        <v>11.9</v>
      </c>
      <c r="C86" s="237">
        <v>11.25</v>
      </c>
      <c r="D86" s="237">
        <v>1</v>
      </c>
      <c r="E86" s="237">
        <v>3.75</v>
      </c>
      <c r="F86" s="237">
        <v>43.1</v>
      </c>
      <c r="G86" s="237">
        <v>11.25</v>
      </c>
      <c r="H86" s="237">
        <v>1</v>
      </c>
      <c r="I86" s="237">
        <v>3.75</v>
      </c>
      <c r="J86" s="243">
        <v>6.0282188397626779E-3</v>
      </c>
      <c r="K86" s="241">
        <v>3.75</v>
      </c>
      <c r="L86" s="242">
        <v>2.6349999999999998</v>
      </c>
      <c r="M86" s="241">
        <v>5</v>
      </c>
      <c r="N86" s="237">
        <v>173.91</v>
      </c>
      <c r="O86" s="241">
        <v>1.0625</v>
      </c>
      <c r="P86" s="237">
        <v>1</v>
      </c>
      <c r="Q86" s="237">
        <v>0.75</v>
      </c>
      <c r="R86" s="237">
        <v>12.44</v>
      </c>
      <c r="S86" s="237">
        <v>8</v>
      </c>
      <c r="T86" s="237">
        <v>1</v>
      </c>
      <c r="U86" s="237">
        <v>2</v>
      </c>
      <c r="V86" s="242">
        <v>0.2092</v>
      </c>
      <c r="W86" s="237">
        <v>12</v>
      </c>
      <c r="X86" s="237">
        <v>1</v>
      </c>
      <c r="Y86" s="237">
        <v>3</v>
      </c>
      <c r="Z86" s="237">
        <v>9.8699999999999992</v>
      </c>
      <c r="AA86" s="237">
        <v>12</v>
      </c>
      <c r="AB86" s="237">
        <v>1</v>
      </c>
      <c r="AC86" s="237">
        <v>3</v>
      </c>
      <c r="AD86" s="237">
        <v>1.2645999999999999</v>
      </c>
      <c r="AE86" s="241">
        <v>4.25</v>
      </c>
      <c r="AF86" s="237">
        <v>1</v>
      </c>
      <c r="AG86" s="237">
        <v>0.5</v>
      </c>
      <c r="AH86" s="240">
        <v>0.36370000000000002</v>
      </c>
      <c r="AI86" s="239">
        <v>8.5</v>
      </c>
      <c r="AJ86" s="237">
        <v>1</v>
      </c>
      <c r="AK86" s="237">
        <v>2</v>
      </c>
      <c r="AL86" s="238">
        <f t="shared" si="18"/>
        <v>95.8125</v>
      </c>
      <c r="AM86" s="237" t="s">
        <v>614</v>
      </c>
    </row>
    <row r="87" spans="1:39">
      <c r="A87" s="237" t="s">
        <v>613</v>
      </c>
      <c r="B87" s="237">
        <v>-2.6</v>
      </c>
      <c r="C87" s="237">
        <v>5.625</v>
      </c>
      <c r="D87" s="237">
        <v>1</v>
      </c>
      <c r="E87" s="237">
        <v>3.75</v>
      </c>
      <c r="F87" s="237">
        <v>-53.6</v>
      </c>
      <c r="G87" s="237">
        <v>2.81</v>
      </c>
      <c r="H87" s="237">
        <v>1</v>
      </c>
      <c r="I87" s="237">
        <v>3.75</v>
      </c>
      <c r="J87" s="243">
        <v>-0.19290003179694692</v>
      </c>
      <c r="K87" s="241">
        <v>1.25</v>
      </c>
      <c r="L87" s="242">
        <v>-2.1854</v>
      </c>
      <c r="M87" s="241">
        <v>1.25</v>
      </c>
      <c r="N87" s="237">
        <v>219.93</v>
      </c>
      <c r="O87" s="241">
        <v>2.125</v>
      </c>
      <c r="P87" s="237">
        <v>0</v>
      </c>
      <c r="Q87" s="237">
        <v>0</v>
      </c>
      <c r="R87" s="237">
        <v>-1.39</v>
      </c>
      <c r="S87" s="237">
        <v>4</v>
      </c>
      <c r="T87" s="237">
        <v>1</v>
      </c>
      <c r="U87" s="237">
        <v>2</v>
      </c>
      <c r="V87" s="237">
        <v>-19.14</v>
      </c>
      <c r="W87" s="237">
        <v>6</v>
      </c>
      <c r="X87" s="237">
        <v>1</v>
      </c>
      <c r="Y87" s="237">
        <v>3</v>
      </c>
      <c r="Z87" s="237">
        <v>-15.54</v>
      </c>
      <c r="AA87" s="237">
        <v>6</v>
      </c>
      <c r="AB87" s="237">
        <v>1</v>
      </c>
      <c r="AC87" s="237">
        <v>3</v>
      </c>
      <c r="AD87" s="237">
        <v>0.83930000000000005</v>
      </c>
      <c r="AE87" s="241">
        <v>1.0625</v>
      </c>
      <c r="AF87" s="237">
        <v>1</v>
      </c>
      <c r="AG87" s="237">
        <v>0.5</v>
      </c>
      <c r="AH87" s="244">
        <v>-2.7099999999999999E-2</v>
      </c>
      <c r="AI87" s="239">
        <v>2.125</v>
      </c>
      <c r="AJ87" s="237">
        <v>1</v>
      </c>
      <c r="AK87" s="237">
        <v>2</v>
      </c>
      <c r="AL87" s="238">
        <f t="shared" si="18"/>
        <v>50.247500000000002</v>
      </c>
      <c r="AM87" s="237" t="s">
        <v>613</v>
      </c>
    </row>
    <row r="88" spans="1:39">
      <c r="A88" s="237" t="s">
        <v>612</v>
      </c>
      <c r="B88" s="237">
        <v>4.8</v>
      </c>
      <c r="C88" s="237">
        <v>11.25</v>
      </c>
      <c r="D88" s="237">
        <v>1</v>
      </c>
      <c r="E88" s="237">
        <v>3.75</v>
      </c>
      <c r="F88" s="237">
        <v>9.4</v>
      </c>
      <c r="G88" s="237">
        <v>8.4375</v>
      </c>
      <c r="H88" s="237">
        <v>1</v>
      </c>
      <c r="I88" s="237">
        <v>3.75</v>
      </c>
      <c r="J88" s="243">
        <v>-5.6815583542551229E-2</v>
      </c>
      <c r="K88" s="241">
        <v>2.5</v>
      </c>
      <c r="L88" s="242">
        <v>1.4990000000000001</v>
      </c>
      <c r="M88" s="241">
        <v>5</v>
      </c>
      <c r="N88" s="237">
        <v>32.22</v>
      </c>
      <c r="O88" s="241">
        <v>2.125</v>
      </c>
      <c r="P88" s="237">
        <v>0</v>
      </c>
      <c r="Q88" s="237">
        <v>0</v>
      </c>
      <c r="R88" s="237">
        <v>10.54</v>
      </c>
      <c r="S88" s="237">
        <v>6</v>
      </c>
      <c r="T88" s="237">
        <v>1</v>
      </c>
      <c r="U88" s="237">
        <v>2</v>
      </c>
      <c r="V88" s="237">
        <v>4.7699999999999996</v>
      </c>
      <c r="W88" s="237">
        <v>9</v>
      </c>
      <c r="X88" s="237">
        <v>1</v>
      </c>
      <c r="Y88" s="237">
        <v>3</v>
      </c>
      <c r="Z88" s="237">
        <v>3.91</v>
      </c>
      <c r="AA88" s="237">
        <v>12</v>
      </c>
      <c r="AB88" s="237">
        <v>1</v>
      </c>
      <c r="AC88" s="237">
        <v>3</v>
      </c>
      <c r="AD88" s="237">
        <v>1.0501</v>
      </c>
      <c r="AE88" s="241">
        <v>3.1875</v>
      </c>
      <c r="AF88" s="237">
        <v>1</v>
      </c>
      <c r="AG88" s="237">
        <v>0.5</v>
      </c>
      <c r="AH88" s="240">
        <v>0.1164</v>
      </c>
      <c r="AI88" s="239">
        <v>4.25</v>
      </c>
      <c r="AJ88" s="237">
        <v>1</v>
      </c>
      <c r="AK88" s="237">
        <v>2</v>
      </c>
      <c r="AL88" s="238">
        <f t="shared" si="18"/>
        <v>81.75</v>
      </c>
      <c r="AM88" s="237" t="s">
        <v>612</v>
      </c>
    </row>
    <row r="89" spans="1:39">
      <c r="A89" s="237" t="s">
        <v>611</v>
      </c>
      <c r="B89" s="237">
        <v>1.3</v>
      </c>
      <c r="C89" s="237">
        <v>8.4375</v>
      </c>
      <c r="D89" s="237">
        <v>1</v>
      </c>
      <c r="E89" s="237">
        <v>3.75</v>
      </c>
      <c r="F89" s="237">
        <v>0.9</v>
      </c>
      <c r="G89" s="237">
        <v>5.625</v>
      </c>
      <c r="H89" s="237">
        <v>0</v>
      </c>
      <c r="I89" s="237">
        <v>0</v>
      </c>
      <c r="J89" s="243">
        <v>-0.34581265050258625</v>
      </c>
      <c r="K89" s="241">
        <v>1.25</v>
      </c>
      <c r="L89" s="242">
        <v>1.006</v>
      </c>
      <c r="M89" s="241">
        <v>3.75</v>
      </c>
      <c r="N89" s="237">
        <v>-510.44</v>
      </c>
      <c r="O89" s="241">
        <v>4.25</v>
      </c>
      <c r="P89" s="237">
        <v>1</v>
      </c>
      <c r="Q89" s="237">
        <v>0.75</v>
      </c>
      <c r="R89" s="237">
        <v>9.48</v>
      </c>
      <c r="S89" s="237">
        <v>6</v>
      </c>
      <c r="T89" s="237">
        <v>1</v>
      </c>
      <c r="U89" s="237">
        <v>2</v>
      </c>
      <c r="V89" s="237">
        <v>2.35</v>
      </c>
      <c r="W89" s="237">
        <v>9</v>
      </c>
      <c r="X89" s="237">
        <v>1</v>
      </c>
      <c r="Y89" s="237">
        <v>3</v>
      </c>
      <c r="Z89" s="237">
        <v>1.76</v>
      </c>
      <c r="AA89" s="237">
        <v>9</v>
      </c>
      <c r="AB89" s="237">
        <v>1</v>
      </c>
      <c r="AC89" s="237">
        <v>3</v>
      </c>
      <c r="AD89" s="237">
        <v>1.024</v>
      </c>
      <c r="AE89" s="241">
        <v>3.1875</v>
      </c>
      <c r="AF89" s="237">
        <v>1</v>
      </c>
      <c r="AG89" s="237">
        <v>0.5</v>
      </c>
      <c r="AH89" s="244">
        <v>-2.0199999999999999E-2</v>
      </c>
      <c r="AI89" s="239">
        <v>2.125</v>
      </c>
      <c r="AJ89" s="237">
        <v>0</v>
      </c>
      <c r="AK89" s="237">
        <v>0</v>
      </c>
      <c r="AL89" s="238">
        <f t="shared" si="18"/>
        <v>65.625</v>
      </c>
      <c r="AM89" s="237" t="s">
        <v>611</v>
      </c>
    </row>
    <row r="90" spans="1:39">
      <c r="A90" s="237" t="s">
        <v>610</v>
      </c>
      <c r="B90" s="237">
        <v>3.5</v>
      </c>
      <c r="C90" s="237">
        <v>8.4375</v>
      </c>
      <c r="D90" s="237">
        <v>0</v>
      </c>
      <c r="E90" s="237">
        <v>0</v>
      </c>
      <c r="F90" s="237">
        <v>5.4</v>
      </c>
      <c r="G90" s="237">
        <v>5.625</v>
      </c>
      <c r="H90" s="237">
        <v>0</v>
      </c>
      <c r="I90" s="237">
        <v>0</v>
      </c>
      <c r="J90" s="243">
        <v>2.229663771482393E-2</v>
      </c>
      <c r="K90" s="241">
        <v>3.75</v>
      </c>
      <c r="L90" s="242">
        <v>-0.17599999999999999</v>
      </c>
      <c r="M90" s="241">
        <v>1.25</v>
      </c>
      <c r="N90" s="237">
        <v>666.54</v>
      </c>
      <c r="O90" s="241">
        <v>1.0625</v>
      </c>
      <c r="P90" s="237">
        <v>1</v>
      </c>
      <c r="Q90" s="237">
        <v>0.75</v>
      </c>
      <c r="R90" s="237">
        <v>11.01</v>
      </c>
      <c r="S90" s="237">
        <v>6</v>
      </c>
      <c r="T90" s="237">
        <v>0</v>
      </c>
      <c r="U90" s="237">
        <v>0</v>
      </c>
      <c r="V90" s="237">
        <v>8.11</v>
      </c>
      <c r="W90" s="237">
        <v>12</v>
      </c>
      <c r="X90" s="237">
        <v>0</v>
      </c>
      <c r="Y90" s="237">
        <v>0</v>
      </c>
      <c r="Z90" s="237">
        <v>2.16</v>
      </c>
      <c r="AA90" s="237">
        <v>9</v>
      </c>
      <c r="AB90" s="237">
        <v>0</v>
      </c>
      <c r="AC90" s="237">
        <v>0</v>
      </c>
      <c r="AD90" s="237">
        <v>1.0883</v>
      </c>
      <c r="AE90" s="241">
        <v>4.25</v>
      </c>
      <c r="AF90" s="237">
        <v>0</v>
      </c>
      <c r="AG90" s="237">
        <v>0</v>
      </c>
      <c r="AH90" s="240">
        <v>7.4399999999999994E-2</v>
      </c>
      <c r="AI90" s="239">
        <v>4.25</v>
      </c>
      <c r="AJ90" s="237">
        <v>0</v>
      </c>
      <c r="AK90" s="237">
        <v>0</v>
      </c>
      <c r="AL90" s="238">
        <f t="shared" si="18"/>
        <v>56.375</v>
      </c>
      <c r="AM90" s="237" t="s">
        <v>610</v>
      </c>
    </row>
    <row r="91" spans="1:39">
      <c r="A91" s="237" t="s">
        <v>609</v>
      </c>
      <c r="B91" s="237">
        <v>4</v>
      </c>
      <c r="C91" s="237">
        <v>11.25</v>
      </c>
      <c r="D91" s="237">
        <v>0</v>
      </c>
      <c r="E91" s="237">
        <v>0</v>
      </c>
      <c r="F91" s="237">
        <v>1.3</v>
      </c>
      <c r="G91" s="237">
        <v>5.625</v>
      </c>
      <c r="H91" s="237">
        <v>0</v>
      </c>
      <c r="I91" s="237">
        <v>0</v>
      </c>
      <c r="J91" s="243">
        <v>-0.13310639218460629</v>
      </c>
      <c r="K91" s="241">
        <v>2.5</v>
      </c>
      <c r="L91" s="242">
        <v>-0.81299999999999994</v>
      </c>
      <c r="M91" s="241">
        <v>1.25</v>
      </c>
      <c r="N91" s="237">
        <v>95.47</v>
      </c>
      <c r="O91" s="241">
        <v>1.0625</v>
      </c>
      <c r="P91" s="237">
        <v>1</v>
      </c>
      <c r="Q91" s="237">
        <v>0.75</v>
      </c>
      <c r="R91" s="237">
        <v>17.63</v>
      </c>
      <c r="S91" s="237">
        <v>8</v>
      </c>
      <c r="T91" s="237">
        <v>0</v>
      </c>
      <c r="U91" s="237">
        <v>0</v>
      </c>
      <c r="V91" s="237">
        <v>11.69</v>
      </c>
      <c r="W91" s="237">
        <v>12</v>
      </c>
      <c r="X91" s="237">
        <v>1</v>
      </c>
      <c r="Y91" s="237">
        <v>3</v>
      </c>
      <c r="Z91" s="237">
        <v>0.57999999999999996</v>
      </c>
      <c r="AA91" s="237">
        <v>9</v>
      </c>
      <c r="AB91" s="237">
        <v>0</v>
      </c>
      <c r="AC91" s="237">
        <v>0</v>
      </c>
      <c r="AD91" s="237">
        <v>1.1324000000000001</v>
      </c>
      <c r="AE91" s="241">
        <v>4.25</v>
      </c>
      <c r="AF91" s="237">
        <v>1</v>
      </c>
      <c r="AG91" s="237">
        <v>0.5</v>
      </c>
      <c r="AH91" s="240">
        <v>0.11119999999999999</v>
      </c>
      <c r="AI91" s="239">
        <v>4.25</v>
      </c>
      <c r="AJ91" s="237">
        <v>0</v>
      </c>
      <c r="AK91" s="237">
        <v>0</v>
      </c>
      <c r="AL91" s="238">
        <f t="shared" si="18"/>
        <v>63.4375</v>
      </c>
      <c r="AM91" s="237" t="s">
        <v>609</v>
      </c>
    </row>
    <row r="92" spans="1:39">
      <c r="A92" s="237" t="s">
        <v>608</v>
      </c>
      <c r="B92" s="237">
        <v>4.8</v>
      </c>
      <c r="C92" s="237">
        <v>11.25</v>
      </c>
      <c r="D92" s="237">
        <v>0</v>
      </c>
      <c r="E92" s="237">
        <v>0</v>
      </c>
      <c r="F92" s="237">
        <v>11.6</v>
      </c>
      <c r="G92" s="237">
        <v>8.4375</v>
      </c>
      <c r="H92" s="237">
        <v>0</v>
      </c>
      <c r="I92" s="237">
        <v>0</v>
      </c>
      <c r="J92" s="243">
        <v>-0.1827036415338219</v>
      </c>
      <c r="K92" s="241">
        <v>1.25</v>
      </c>
      <c r="L92" s="242">
        <v>-0.746</v>
      </c>
      <c r="M92" s="241">
        <v>1.25</v>
      </c>
      <c r="N92" s="237">
        <v>-71.62</v>
      </c>
      <c r="O92" s="241">
        <v>4.25</v>
      </c>
      <c r="P92" s="237">
        <v>1</v>
      </c>
      <c r="Q92" s="237">
        <v>0.75</v>
      </c>
      <c r="R92" s="237">
        <v>11.21</v>
      </c>
      <c r="S92" s="237">
        <v>6</v>
      </c>
      <c r="T92" s="237">
        <v>0</v>
      </c>
      <c r="U92" s="237">
        <v>0</v>
      </c>
      <c r="V92" s="237">
        <v>8.3000000000000007</v>
      </c>
      <c r="W92" s="237">
        <v>12</v>
      </c>
      <c r="X92" s="237">
        <v>0</v>
      </c>
      <c r="Y92" s="237">
        <v>0</v>
      </c>
      <c r="Z92" s="237">
        <v>5.03</v>
      </c>
      <c r="AA92" s="237">
        <v>12</v>
      </c>
      <c r="AB92" s="237">
        <v>0</v>
      </c>
      <c r="AC92" s="237">
        <v>0</v>
      </c>
      <c r="AD92" s="237">
        <v>1.0905</v>
      </c>
      <c r="AE92" s="241">
        <v>4.25</v>
      </c>
      <c r="AF92" s="237">
        <v>0</v>
      </c>
      <c r="AG92" s="237">
        <v>0</v>
      </c>
      <c r="AH92" s="240">
        <v>9.2899999999999996E-2</v>
      </c>
      <c r="AI92" s="239">
        <v>4.25</v>
      </c>
      <c r="AJ92" s="237">
        <v>0</v>
      </c>
      <c r="AK92" s="237">
        <v>0</v>
      </c>
      <c r="AL92" s="238">
        <f t="shared" si="18"/>
        <v>65.6875</v>
      </c>
      <c r="AM92" s="237" t="s">
        <v>608</v>
      </c>
    </row>
    <row r="93" spans="1:39">
      <c r="A93" s="237" t="s">
        <v>607</v>
      </c>
      <c r="B93" s="237">
        <v>0.4</v>
      </c>
      <c r="C93" s="237">
        <v>8.4375</v>
      </c>
      <c r="D93" s="237">
        <v>0</v>
      </c>
      <c r="E93" s="237">
        <v>0</v>
      </c>
      <c r="F93" s="237">
        <v>0.5</v>
      </c>
      <c r="G93" s="237">
        <v>5.625</v>
      </c>
      <c r="H93" s="237">
        <v>0</v>
      </c>
      <c r="I93" s="237">
        <v>0</v>
      </c>
      <c r="J93" s="243">
        <v>1.2547732067227813E-2</v>
      </c>
      <c r="K93" s="241">
        <v>3.75</v>
      </c>
      <c r="L93" s="242">
        <v>-0.113</v>
      </c>
      <c r="M93" s="241">
        <v>1.25</v>
      </c>
      <c r="N93" s="237">
        <v>61.38</v>
      </c>
      <c r="O93" s="241">
        <v>2.125</v>
      </c>
      <c r="P93" s="237">
        <v>0</v>
      </c>
      <c r="Q93" s="237">
        <v>0</v>
      </c>
      <c r="R93" s="237">
        <v>4.29</v>
      </c>
      <c r="S93" s="237">
        <v>6</v>
      </c>
      <c r="T93" s="237">
        <v>0</v>
      </c>
      <c r="U93" s="237">
        <v>0</v>
      </c>
      <c r="V93" s="237">
        <v>-0.02</v>
      </c>
      <c r="W93" s="237">
        <v>6</v>
      </c>
      <c r="X93" s="237">
        <v>1</v>
      </c>
      <c r="Y93" s="237">
        <v>3</v>
      </c>
      <c r="Z93" s="237">
        <v>0.45</v>
      </c>
      <c r="AA93" s="237">
        <v>9</v>
      </c>
      <c r="AB93" s="237">
        <v>0</v>
      </c>
      <c r="AC93" s="237">
        <v>0</v>
      </c>
      <c r="AD93" s="237">
        <v>0.99980000000000002</v>
      </c>
      <c r="AE93" s="241">
        <v>2.125</v>
      </c>
      <c r="AF93" s="237">
        <v>1</v>
      </c>
      <c r="AG93" s="237">
        <v>0.5</v>
      </c>
      <c r="AH93" s="240">
        <v>1.41E-2</v>
      </c>
      <c r="AI93" s="239">
        <v>2.125</v>
      </c>
      <c r="AJ93" s="237">
        <v>1</v>
      </c>
      <c r="AK93" s="237">
        <v>2</v>
      </c>
      <c r="AL93" s="238">
        <f t="shared" si="18"/>
        <v>51.9375</v>
      </c>
      <c r="AM93" s="237" t="s">
        <v>607</v>
      </c>
    </row>
  </sheetData>
  <mergeCells count="2">
    <mergeCell ref="A1:AJ2"/>
    <mergeCell ref="B77:J77"/>
  </mergeCells>
  <pageMargins left="0.75" right="0.75" top="1" bottom="1" header="0.5" footer="0.5"/>
  <pageSetup paperSize="9" orientation="portrait" horizontalDpi="4294967292" verticalDpi="429496729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N99"/>
  <sheetViews>
    <sheetView topLeftCell="A23" zoomScale="80" zoomScaleNormal="80" zoomScalePageLayoutView="80" workbookViewId="0">
      <selection activeCell="F32" sqref="F32"/>
    </sheetView>
  </sheetViews>
  <sheetFormatPr defaultColWidth="12.5703125" defaultRowHeight="15.75"/>
  <cols>
    <col min="1" max="1" width="37.85546875" style="236" bestFit="1" customWidth="1"/>
    <col min="2" max="2" width="21.7109375" style="250" bestFit="1" customWidth="1"/>
    <col min="3" max="4" width="12.5703125" style="236"/>
    <col min="5" max="5" width="8.42578125" style="236" bestFit="1" customWidth="1"/>
    <col min="6" max="6" width="16.140625" style="236" bestFit="1" customWidth="1"/>
    <col min="7" max="9" width="12.5703125" style="236"/>
    <col min="10" max="11" width="16.140625" style="236" bestFit="1" customWidth="1"/>
    <col min="12" max="12" width="13.7109375" style="236" bestFit="1" customWidth="1"/>
    <col min="13" max="17" width="12.5703125" style="236"/>
    <col min="18" max="18" width="17.140625" style="236" bestFit="1" customWidth="1"/>
    <col min="19" max="23" width="12.5703125" style="236"/>
    <col min="24" max="24" width="15" style="236" bestFit="1" customWidth="1"/>
    <col min="25" max="25" width="12.5703125" style="236"/>
    <col min="26" max="26" width="17.140625" style="236" bestFit="1" customWidth="1"/>
    <col min="27" max="29" width="12.5703125" style="236"/>
    <col min="30" max="30" width="15.140625" style="236" customWidth="1"/>
    <col min="31" max="33" width="12.5703125" style="236"/>
    <col min="34" max="34" width="10.140625" style="236" bestFit="1" customWidth="1"/>
    <col min="35" max="38" width="12.5703125" style="236"/>
    <col min="39" max="40" width="37.85546875" style="236" bestFit="1" customWidth="1"/>
    <col min="41" max="41" width="14.7109375" style="236" bestFit="1" customWidth="1"/>
    <col min="42" max="16384" width="12.5703125" style="236"/>
  </cols>
  <sheetData>
    <row r="1" spans="1:40">
      <c r="A1" s="531" t="s">
        <v>692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1"/>
      <c r="T1" s="531"/>
      <c r="U1" s="531"/>
      <c r="V1" s="531"/>
      <c r="W1" s="531"/>
      <c r="X1" s="531"/>
      <c r="Y1" s="531"/>
      <c r="Z1" s="531"/>
      <c r="AA1" s="531"/>
      <c r="AB1" s="531"/>
      <c r="AC1" s="531"/>
      <c r="AD1" s="531"/>
      <c r="AE1" s="531"/>
      <c r="AF1" s="531"/>
      <c r="AG1" s="531"/>
      <c r="AH1" s="531"/>
      <c r="AI1" s="531"/>
      <c r="AJ1" s="531"/>
      <c r="AK1" s="280"/>
      <c r="AL1" s="280"/>
      <c r="AM1" s="280"/>
      <c r="AN1" s="280"/>
    </row>
    <row r="2" spans="1:40">
      <c r="A2" s="531"/>
      <c r="B2" s="531"/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Y2" s="531"/>
      <c r="Z2" s="531"/>
      <c r="AA2" s="531"/>
      <c r="AB2" s="531"/>
      <c r="AC2" s="531"/>
      <c r="AD2" s="531"/>
      <c r="AE2" s="531"/>
      <c r="AF2" s="531"/>
      <c r="AG2" s="531"/>
      <c r="AH2" s="531"/>
      <c r="AI2" s="531"/>
      <c r="AJ2" s="531"/>
      <c r="AK2" s="280"/>
      <c r="AL2" s="280"/>
      <c r="AM2" s="280"/>
      <c r="AN2" s="280"/>
    </row>
    <row r="3" spans="1:40" ht="78.75">
      <c r="A3" s="279" t="s">
        <v>97</v>
      </c>
      <c r="B3" s="279" t="s">
        <v>96</v>
      </c>
      <c r="C3" s="296" t="s">
        <v>93</v>
      </c>
      <c r="D3" s="296" t="s">
        <v>95</v>
      </c>
      <c r="E3" s="296" t="s">
        <v>93</v>
      </c>
      <c r="F3" s="279" t="s">
        <v>94</v>
      </c>
      <c r="G3" s="296" t="s">
        <v>83</v>
      </c>
      <c r="H3" s="296" t="s">
        <v>84</v>
      </c>
      <c r="I3" s="296" t="s">
        <v>93</v>
      </c>
      <c r="J3" s="279" t="s">
        <v>92</v>
      </c>
      <c r="K3" s="296" t="s">
        <v>83</v>
      </c>
      <c r="L3" s="297" t="s">
        <v>91</v>
      </c>
      <c r="M3" s="296" t="s">
        <v>83</v>
      </c>
      <c r="N3" s="296" t="s">
        <v>90</v>
      </c>
      <c r="O3" s="296" t="s">
        <v>83</v>
      </c>
      <c r="P3" s="296" t="s">
        <v>84</v>
      </c>
      <c r="Q3" s="296" t="s">
        <v>83</v>
      </c>
      <c r="R3" s="296" t="s">
        <v>89</v>
      </c>
      <c r="S3" s="296" t="s">
        <v>83</v>
      </c>
      <c r="T3" s="296" t="s">
        <v>84</v>
      </c>
      <c r="U3" s="296" t="s">
        <v>83</v>
      </c>
      <c r="V3" s="296" t="s">
        <v>88</v>
      </c>
      <c r="W3" s="296" t="s">
        <v>83</v>
      </c>
      <c r="X3" s="296" t="s">
        <v>84</v>
      </c>
      <c r="Y3" s="296" t="s">
        <v>83</v>
      </c>
      <c r="Z3" s="296" t="s">
        <v>87</v>
      </c>
      <c r="AA3" s="296" t="s">
        <v>83</v>
      </c>
      <c r="AB3" s="296" t="s">
        <v>84</v>
      </c>
      <c r="AC3" s="296" t="s">
        <v>83</v>
      </c>
      <c r="AD3" s="296" t="s">
        <v>86</v>
      </c>
      <c r="AE3" s="296" t="s">
        <v>83</v>
      </c>
      <c r="AF3" s="296" t="s">
        <v>84</v>
      </c>
      <c r="AG3" s="296" t="s">
        <v>83</v>
      </c>
      <c r="AH3" s="296" t="s">
        <v>85</v>
      </c>
      <c r="AI3" s="296" t="s">
        <v>83</v>
      </c>
      <c r="AJ3" s="296" t="s">
        <v>84</v>
      </c>
      <c r="AK3" s="296" t="s">
        <v>93</v>
      </c>
      <c r="AL3" s="295" t="s">
        <v>668</v>
      </c>
      <c r="AM3" s="279" t="s">
        <v>97</v>
      </c>
      <c r="AN3" s="279" t="s">
        <v>691</v>
      </c>
    </row>
    <row r="4" spans="1:40">
      <c r="A4" s="279" t="s">
        <v>665</v>
      </c>
      <c r="B4" s="285">
        <v>-18.899999999999999</v>
      </c>
      <c r="C4" s="261">
        <f t="shared" ref="C4:C13" si="0">IF(B4&gt;3.5,$B$20,IF(B4&lt;=-7.6,$B$17,IF(AND(B4&gt;-7.6,B4&lt;=0),$B$18,$B$19)))</f>
        <v>3.375</v>
      </c>
      <c r="D4" s="285">
        <v>0</v>
      </c>
      <c r="E4" s="285" t="str">
        <f t="shared" ref="E4:E13" si="1">IF(D4=0,"0",$H$17)</f>
        <v>0</v>
      </c>
      <c r="F4" s="285">
        <v>-104</v>
      </c>
      <c r="G4" s="285">
        <f t="shared" ref="G4:G13" si="2">IF(F4&gt;38.6,$B$26,IF(F4&lt;=-1.5,$B$23,IF(AND(F4&gt;-1.5,F4&lt;=6.2),$B$24,$B$25)))</f>
        <v>3.375</v>
      </c>
      <c r="H4" s="285">
        <v>0</v>
      </c>
      <c r="I4" s="285" t="str">
        <f t="shared" ref="I4:I13" si="3">IF(H4=0,"0",$H$24)</f>
        <v>0</v>
      </c>
      <c r="J4" s="271">
        <v>-0.2020134301781541</v>
      </c>
      <c r="K4" s="285">
        <f t="shared" ref="K4:K13" si="4">IF(J4&gt;QUARTILE($J$4:$J$13,3),$B$33,IF(AND(J4&lt;=QUARTILE($J$4:$J$13,3),J4&gt;QUARTILE($J$4:$J$13,2)),$B$32,IF(AND(J4&lt;=QUARTILE($J$4:$J$13,2),J4&gt;QUARTILE($J$4:$J$13,1)),$B$31,$B$30)))</f>
        <v>1.25</v>
      </c>
      <c r="L4" s="271">
        <v>0.59770000000000001</v>
      </c>
      <c r="M4" s="285">
        <f t="shared" ref="M4:M13" si="5">IF(L4&gt;QUARTILE($L$4:$L$13,3),$B$39,IF(AND(L4&lt;=QUARTILE($L$4:$L$13,3),L4&gt;QUARTILE($L$4:$L$13,2)),$B$38,IF(AND(L4&lt;=QUARTILE($L$4:$L$14,2),L4&gt;QUARTILE($L$4:$L$13,1)),$B$37,$B$36)))</f>
        <v>3.75</v>
      </c>
      <c r="N4" s="285">
        <v>51.7</v>
      </c>
      <c r="O4" s="285">
        <f t="shared" ref="O4:O13" si="6">IF(N4&gt;QUARTILE($N$4:$N$13,3),$B$45,IF(AND(N4&lt;=QUARTILE($N$4:$N$13,3),N4&gt;QUARTILE($N$4:$N$13,2)),$B$44,IF(AND(N4&lt;=QUARTILE($N$4:$N$13,2),N4&gt;QUARTILE($N$4:$N$13,1)),$B$43,$B$42)))</f>
        <v>1.125</v>
      </c>
      <c r="P4" s="285">
        <v>0</v>
      </c>
      <c r="Q4" s="285" t="str">
        <f t="shared" ref="Q4:Q13" si="7">IF(P4=0,"0",$H$42)</f>
        <v>0</v>
      </c>
      <c r="R4" s="285">
        <v>-32.159999999999997</v>
      </c>
      <c r="S4" s="285">
        <f t="shared" ref="S4:S13" si="8">IF(R4&gt;12.26%,$B$51,IF(R4&lt;=-44.36%,$B$48,IF(AND(R4&gt;-44.36%,R4&lt;=2.4%),$B$49,$B$50)))</f>
        <v>2.25</v>
      </c>
      <c r="T4" s="285">
        <v>0</v>
      </c>
      <c r="U4" s="285" t="str">
        <f t="shared" ref="U4:U13" si="9">IF(T4=0,"0",$H$48)</f>
        <v>0</v>
      </c>
      <c r="V4" s="285">
        <v>-35.35</v>
      </c>
      <c r="W4" s="293">
        <f t="shared" ref="W4:W13" si="10">IF(V4&gt;7.33%,$B$57,IF(V4&lt;=-29.52%,$B$54,IF(AND(V4&gt;-29.52%,V4&lt;=0.92%),$B$55,$B$56)))</f>
        <v>3.375</v>
      </c>
      <c r="X4" s="285">
        <v>0</v>
      </c>
      <c r="Y4" s="285" t="str">
        <f t="shared" ref="Y4:Y13" si="11">IF(X4=0,"0",$H$54)</f>
        <v>0</v>
      </c>
      <c r="Z4" s="285">
        <v>-43.42</v>
      </c>
      <c r="AA4" s="285">
        <f t="shared" ref="AA4:AA13" si="12">IF(Z4&gt;3.89,$B$63,IF(Z4&lt;=-72.24,$B$60,IF(AND(Z4&gt;-72.24,Z4&lt;=0.1),$B$61,$B$62)))</f>
        <v>6.75</v>
      </c>
      <c r="AB4" s="285">
        <v>0</v>
      </c>
      <c r="AC4" s="285" t="str">
        <f t="shared" ref="AC4:AC13" si="13">IF(AB4=0,"0",$H$60)</f>
        <v>0</v>
      </c>
      <c r="AD4" s="285">
        <v>0.7601</v>
      </c>
      <c r="AE4" s="285">
        <f t="shared" ref="AE4:AE13" si="14">IF(AD4&gt;QUARTILE($AD$4:$AD$13,3),$B$69,IF(AND(AD4&lt;=QUARTILE($AD$4:$AD$13,3),AD4&gt;QUARTILE($AD$4:$AD$13,2)),$B$68,IF(AND(AD4&lt;=QUARTILE($AD$4:$AD$13,2),AD4&gt;QUARTILE($AD$4:$AD$13,1)),$B$67,$B$66)))</f>
        <v>1.125</v>
      </c>
      <c r="AF4" s="285">
        <v>0</v>
      </c>
      <c r="AG4" s="285" t="str">
        <f t="shared" ref="AG4:AG13" si="15">IF(AF4=0,"0",$H$66)</f>
        <v>0</v>
      </c>
      <c r="AH4" s="292">
        <v>-0.62690558397030205</v>
      </c>
      <c r="AI4" s="285">
        <f>IF(AH4&gt;QUARTILE($AH$4:$AH$13,3),$B$75,IF(AND(AH4&lt;=QUARTILE($AH$4:$AH$13,3),AH4&gt;QUARTILE($AH$4:$AH$13,2)),$B$74,IF(AND(AH4&lt;=QUARTILE(AH4:$AH$13,2),AH4&gt;QUARTILE($AH$4:$AH$13,1)),$B$73,$B$72)))</f>
        <v>2.25</v>
      </c>
      <c r="AJ4" s="285">
        <v>0</v>
      </c>
      <c r="AK4" s="285" t="str">
        <f t="shared" ref="AK4:AK13" si="16">IF(AJ4=0,"0",$H$72)</f>
        <v>0</v>
      </c>
      <c r="AL4" s="285">
        <f t="shared" ref="AL4:AL13" si="17">C4+E4+G4+I4+K4+M4+O4+Q4+S4+U4+W4+Y4+AA4+AC4+AE4+AG4+AI4+AK4</f>
        <v>28.625</v>
      </c>
      <c r="AM4" s="279" t="s">
        <v>665</v>
      </c>
      <c r="AN4" s="283">
        <v>912482200</v>
      </c>
    </row>
    <row r="5" spans="1:40">
      <c r="A5" s="279" t="s">
        <v>667</v>
      </c>
      <c r="B5" s="285">
        <v>0.3</v>
      </c>
      <c r="C5" s="261">
        <f t="shared" si="0"/>
        <v>10.125</v>
      </c>
      <c r="D5" s="285">
        <v>1</v>
      </c>
      <c r="E5" s="285">
        <f t="shared" si="1"/>
        <v>1.5</v>
      </c>
      <c r="F5" s="285">
        <v>0.91</v>
      </c>
      <c r="G5" s="285">
        <f t="shared" si="2"/>
        <v>6.75</v>
      </c>
      <c r="H5" s="285">
        <v>1</v>
      </c>
      <c r="I5" s="285">
        <f t="shared" si="3"/>
        <v>1.5</v>
      </c>
      <c r="J5" s="271">
        <v>-0.13975778154332974</v>
      </c>
      <c r="K5" s="285">
        <f t="shared" si="4"/>
        <v>3.75</v>
      </c>
      <c r="L5" s="271">
        <v>0.22969999999999999</v>
      </c>
      <c r="M5" s="285">
        <f t="shared" si="5"/>
        <v>2.5</v>
      </c>
      <c r="N5" s="285">
        <v>-19.47</v>
      </c>
      <c r="O5" s="285">
        <f t="shared" si="6"/>
        <v>4.5</v>
      </c>
      <c r="P5" s="285">
        <v>0</v>
      </c>
      <c r="Q5" s="285" t="str">
        <f t="shared" si="7"/>
        <v>0</v>
      </c>
      <c r="R5" s="285">
        <v>5.26</v>
      </c>
      <c r="S5" s="285">
        <f t="shared" si="8"/>
        <v>9</v>
      </c>
      <c r="T5" s="285">
        <v>0</v>
      </c>
      <c r="U5" s="285" t="str">
        <f t="shared" si="9"/>
        <v>0</v>
      </c>
      <c r="V5" s="285">
        <v>1.53</v>
      </c>
      <c r="W5" s="293">
        <f t="shared" si="10"/>
        <v>13.5</v>
      </c>
      <c r="X5" s="285">
        <v>1</v>
      </c>
      <c r="Y5" s="285">
        <f t="shared" si="11"/>
        <v>1.5</v>
      </c>
      <c r="Z5" s="285">
        <v>0.21</v>
      </c>
      <c r="AA5" s="285">
        <f t="shared" si="12"/>
        <v>10.125</v>
      </c>
      <c r="AB5" s="285">
        <v>0</v>
      </c>
      <c r="AC5" s="285" t="str">
        <f t="shared" si="13"/>
        <v>0</v>
      </c>
      <c r="AD5" s="285">
        <v>1.0155000000000001</v>
      </c>
      <c r="AE5" s="285">
        <f t="shared" si="14"/>
        <v>3.375</v>
      </c>
      <c r="AF5" s="285">
        <v>1</v>
      </c>
      <c r="AG5" s="285">
        <f t="shared" si="15"/>
        <v>0.5</v>
      </c>
      <c r="AH5" s="271">
        <v>7.3980173917915851E-2</v>
      </c>
      <c r="AI5" s="285">
        <f>IF(AH5&gt;QUARTILE($AH$4:$AH$13,3),$B$75,IF(AND(AH5&lt;=QUARTILE($AH$4:$AH$13,3),AH5&gt;QUARTILE($AH$4:$AH$13,2)),$B$74,IF(AND(AH5&lt;=QUARTILE(AH5:$AH$13,2),AH5&gt;QUARTILE($AH$4:$AH$13,1)),$B$73,$B$72)))</f>
        <v>6.75</v>
      </c>
      <c r="AJ5" s="285">
        <v>1</v>
      </c>
      <c r="AK5" s="285">
        <f t="shared" si="16"/>
        <v>1</v>
      </c>
      <c r="AL5" s="285">
        <f t="shared" si="17"/>
        <v>76.375</v>
      </c>
      <c r="AM5" s="279" t="s">
        <v>667</v>
      </c>
      <c r="AN5" s="283">
        <v>896214800</v>
      </c>
    </row>
    <row r="6" spans="1:40">
      <c r="A6" s="279" t="s">
        <v>666</v>
      </c>
      <c r="B6" s="285">
        <v>0.3</v>
      </c>
      <c r="C6" s="261">
        <f t="shared" si="0"/>
        <v>10.125</v>
      </c>
      <c r="D6" s="285">
        <v>1</v>
      </c>
      <c r="E6" s="285">
        <f t="shared" si="1"/>
        <v>1.5</v>
      </c>
      <c r="F6" s="285">
        <v>1.1000000000000001</v>
      </c>
      <c r="G6" s="285">
        <f t="shared" si="2"/>
        <v>6.75</v>
      </c>
      <c r="H6" s="285">
        <v>1</v>
      </c>
      <c r="I6" s="285">
        <f t="shared" si="3"/>
        <v>1.5</v>
      </c>
      <c r="J6" s="271">
        <v>-0.15335522589286488</v>
      </c>
      <c r="K6" s="285">
        <f t="shared" si="4"/>
        <v>2.5</v>
      </c>
      <c r="L6" s="271">
        <v>-0.55130000000000001</v>
      </c>
      <c r="M6" s="285">
        <f t="shared" si="5"/>
        <v>1.25</v>
      </c>
      <c r="N6" s="285">
        <v>174.12</v>
      </c>
      <c r="O6" s="285">
        <f t="shared" si="6"/>
        <v>1.125</v>
      </c>
      <c r="P6" s="285">
        <v>0</v>
      </c>
      <c r="Q6" s="285" t="str">
        <f t="shared" si="7"/>
        <v>0</v>
      </c>
      <c r="R6" s="285">
        <v>1.94</v>
      </c>
      <c r="S6" s="285">
        <f t="shared" si="8"/>
        <v>9</v>
      </c>
      <c r="T6" s="285">
        <v>0</v>
      </c>
      <c r="U6" s="285" t="str">
        <f t="shared" si="9"/>
        <v>0</v>
      </c>
      <c r="V6" s="285">
        <v>-1.51</v>
      </c>
      <c r="W6" s="293">
        <f t="shared" si="10"/>
        <v>3.375</v>
      </c>
      <c r="X6" s="285">
        <v>1</v>
      </c>
      <c r="Y6" s="285">
        <f t="shared" si="11"/>
        <v>1.5</v>
      </c>
      <c r="Z6" s="285">
        <v>0.44</v>
      </c>
      <c r="AA6" s="285">
        <f t="shared" si="12"/>
        <v>10.125</v>
      </c>
      <c r="AB6" s="285">
        <v>1</v>
      </c>
      <c r="AC6" s="285">
        <f t="shared" si="13"/>
        <v>1.5</v>
      </c>
      <c r="AD6" s="285">
        <v>0.98509999999999998</v>
      </c>
      <c r="AE6" s="285">
        <f t="shared" si="14"/>
        <v>3.375</v>
      </c>
      <c r="AF6" s="285">
        <v>1</v>
      </c>
      <c r="AG6" s="285">
        <f t="shared" si="15"/>
        <v>0.5</v>
      </c>
      <c r="AH6" s="271">
        <v>6.5571838693066417E-2</v>
      </c>
      <c r="AI6" s="285">
        <f>IF(AH6&gt;QUARTILE($AH$4:$AH$13,3),$B$75,IF(AND(AH6&lt;=QUARTILE($AH$4:$AH$13,3),AH6&gt;QUARTILE($AH$4:$AH$13,2)),$B$74,IF(AND(AH6&lt;=QUARTILE(AH6:$AH$13,2),AH6&gt;QUARTILE($AH$4:$AH$13,1)),$B$73,$B$72)))</f>
        <v>4.5</v>
      </c>
      <c r="AJ6" s="285">
        <v>1</v>
      </c>
      <c r="AK6" s="285">
        <f t="shared" si="16"/>
        <v>1</v>
      </c>
      <c r="AL6" s="285">
        <f t="shared" si="17"/>
        <v>59.625</v>
      </c>
      <c r="AM6" s="279" t="s">
        <v>666</v>
      </c>
      <c r="AN6" s="294">
        <v>827382200</v>
      </c>
    </row>
    <row r="7" spans="1:40">
      <c r="A7" s="279" t="s">
        <v>658</v>
      </c>
      <c r="B7" s="285">
        <v>-1.6</v>
      </c>
      <c r="C7" s="261">
        <f t="shared" si="0"/>
        <v>6.75</v>
      </c>
      <c r="D7" s="285">
        <v>0</v>
      </c>
      <c r="E7" s="285" t="str">
        <f t="shared" si="1"/>
        <v>0</v>
      </c>
      <c r="F7" s="285">
        <v>-9.4</v>
      </c>
      <c r="G7" s="285">
        <f t="shared" si="2"/>
        <v>3.375</v>
      </c>
      <c r="H7" s="285">
        <v>0</v>
      </c>
      <c r="I7" s="285" t="str">
        <f t="shared" si="3"/>
        <v>0</v>
      </c>
      <c r="J7" s="271">
        <v>-9.4244397369719235E-2</v>
      </c>
      <c r="K7" s="285">
        <f t="shared" si="4"/>
        <v>3.75</v>
      </c>
      <c r="L7" s="271">
        <v>3.9146000000000001</v>
      </c>
      <c r="M7" s="285">
        <f t="shared" si="5"/>
        <v>5</v>
      </c>
      <c r="N7" s="285">
        <v>91.17</v>
      </c>
      <c r="O7" s="285">
        <f t="shared" si="6"/>
        <v>1.125</v>
      </c>
      <c r="P7" s="285">
        <v>1</v>
      </c>
      <c r="Q7" s="285">
        <f t="shared" si="7"/>
        <v>0.5</v>
      </c>
      <c r="R7" s="285">
        <v>0.46</v>
      </c>
      <c r="S7" s="285">
        <f t="shared" si="8"/>
        <v>9</v>
      </c>
      <c r="T7" s="285">
        <v>0</v>
      </c>
      <c r="U7" s="285" t="str">
        <f t="shared" si="9"/>
        <v>0</v>
      </c>
      <c r="V7" s="285">
        <v>-4.33</v>
      </c>
      <c r="W7" s="293">
        <f t="shared" si="10"/>
        <v>3.375</v>
      </c>
      <c r="X7" s="285">
        <v>0</v>
      </c>
      <c r="Y7" s="285" t="str">
        <f t="shared" si="11"/>
        <v>0</v>
      </c>
      <c r="Z7" s="285">
        <v>-3.46</v>
      </c>
      <c r="AA7" s="285">
        <f t="shared" si="12"/>
        <v>6.75</v>
      </c>
      <c r="AB7" s="285">
        <v>0</v>
      </c>
      <c r="AC7" s="285" t="str">
        <f t="shared" si="13"/>
        <v>0</v>
      </c>
      <c r="AD7" s="285">
        <v>0.95850000000000002</v>
      </c>
      <c r="AE7" s="285">
        <f t="shared" si="14"/>
        <v>2.25</v>
      </c>
      <c r="AF7" s="285">
        <v>0</v>
      </c>
      <c r="AG7" s="285" t="str">
        <f t="shared" si="15"/>
        <v>0</v>
      </c>
      <c r="AH7" s="292">
        <v>-4.4977437586222239E-2</v>
      </c>
      <c r="AI7" s="285">
        <f>IF(AH7&gt;QUARTILE($AH$4:$AH$13,3),$B$75,IF(AND(AH7&lt;=QUARTILE($AH$4:$AH$13,3),AH7&gt;QUARTILE($AH$4:$AH$13,2)),$B$74,IF(AND(AH7&lt;=QUARTILE(AH7:$AH$13,2),AH7&gt;QUARTILE($AH$4:$AH$13,1)),$B$73,$B$72)))</f>
        <v>2.25</v>
      </c>
      <c r="AJ7" s="285">
        <v>0</v>
      </c>
      <c r="AK7" s="285" t="str">
        <f t="shared" si="16"/>
        <v>0</v>
      </c>
      <c r="AL7" s="285">
        <f t="shared" si="17"/>
        <v>44.125</v>
      </c>
      <c r="AM7" s="279" t="s">
        <v>658</v>
      </c>
      <c r="AN7" s="283">
        <v>779155900</v>
      </c>
    </row>
    <row r="8" spans="1:40">
      <c r="A8" s="279" t="s">
        <v>664</v>
      </c>
      <c r="B8" s="285">
        <v>1.4</v>
      </c>
      <c r="C8" s="261">
        <f t="shared" si="0"/>
        <v>10.125</v>
      </c>
      <c r="D8" s="285">
        <v>0</v>
      </c>
      <c r="E8" s="285" t="str">
        <f t="shared" si="1"/>
        <v>0</v>
      </c>
      <c r="F8" s="285">
        <v>3.7</v>
      </c>
      <c r="G8" s="285">
        <f t="shared" si="2"/>
        <v>6.75</v>
      </c>
      <c r="H8" s="285">
        <v>0</v>
      </c>
      <c r="I8" s="285" t="str">
        <f t="shared" si="3"/>
        <v>0</v>
      </c>
      <c r="J8" s="271">
        <v>-8.4991908913145675E-2</v>
      </c>
      <c r="K8" s="285">
        <f t="shared" si="4"/>
        <v>5</v>
      </c>
      <c r="L8" s="271">
        <v>-0.432</v>
      </c>
      <c r="M8" s="285">
        <f t="shared" si="5"/>
        <v>2.5</v>
      </c>
      <c r="N8" s="285">
        <v>-7.53</v>
      </c>
      <c r="O8" s="285">
        <f t="shared" si="6"/>
        <v>4.5</v>
      </c>
      <c r="P8" s="285">
        <v>0</v>
      </c>
      <c r="Q8" s="285" t="str">
        <f t="shared" si="7"/>
        <v>0</v>
      </c>
      <c r="R8" s="285">
        <v>5.39</v>
      </c>
      <c r="S8" s="285">
        <f t="shared" si="8"/>
        <v>9</v>
      </c>
      <c r="T8" s="285">
        <v>1</v>
      </c>
      <c r="U8" s="285">
        <f t="shared" si="9"/>
        <v>1</v>
      </c>
      <c r="V8" s="285">
        <v>1.58</v>
      </c>
      <c r="W8" s="293">
        <f t="shared" si="10"/>
        <v>13.5</v>
      </c>
      <c r="X8" s="285">
        <v>1</v>
      </c>
      <c r="Y8" s="285">
        <f t="shared" si="11"/>
        <v>1.5</v>
      </c>
      <c r="Z8" s="285">
        <v>0.81</v>
      </c>
      <c r="AA8" s="285">
        <f t="shared" si="12"/>
        <v>10.125</v>
      </c>
      <c r="AB8" s="285">
        <v>0</v>
      </c>
      <c r="AC8" s="285" t="str">
        <f t="shared" si="13"/>
        <v>0</v>
      </c>
      <c r="AD8" s="285">
        <v>1.016</v>
      </c>
      <c r="AE8" s="285">
        <f t="shared" si="14"/>
        <v>4.5</v>
      </c>
      <c r="AF8" s="285">
        <v>1</v>
      </c>
      <c r="AG8" s="285">
        <f t="shared" si="15"/>
        <v>0.5</v>
      </c>
      <c r="AH8" s="271">
        <v>4.9259016995999161E-2</v>
      </c>
      <c r="AI8" s="285">
        <f>IF(AH8&gt;QUARTILE($AH$4:$AH$13,3),$B$75,IF(AND(AH8&lt;=QUARTILE($AH$4:$AH$13,3),AH8&gt;QUARTILE($AH$4:$AH$13,2)),$B$74,IF(AND(AH8&lt;=QUARTILE(AH8:$AH$13,2),AH8&gt;QUARTILE($AH$4:$AH$13,1)),$B$73,$B$72)))</f>
        <v>4.5</v>
      </c>
      <c r="AJ8" s="285">
        <v>0</v>
      </c>
      <c r="AK8" s="285" t="str">
        <f t="shared" si="16"/>
        <v>0</v>
      </c>
      <c r="AL8" s="285">
        <f t="shared" si="17"/>
        <v>73.5</v>
      </c>
      <c r="AM8" s="279" t="s">
        <v>664</v>
      </c>
      <c r="AN8" s="283">
        <v>747755000</v>
      </c>
    </row>
    <row r="9" spans="1:40">
      <c r="A9" s="279" t="s">
        <v>660</v>
      </c>
      <c r="B9" s="285">
        <v>11.2</v>
      </c>
      <c r="C9" s="261">
        <f t="shared" si="0"/>
        <v>13.5</v>
      </c>
      <c r="D9" s="285">
        <v>1</v>
      </c>
      <c r="E9" s="285">
        <f t="shared" si="1"/>
        <v>1.5</v>
      </c>
      <c r="F9" s="285">
        <v>65.8</v>
      </c>
      <c r="G9" s="285">
        <f t="shared" si="2"/>
        <v>13.5</v>
      </c>
      <c r="H9" s="285">
        <v>1</v>
      </c>
      <c r="I9" s="285">
        <f t="shared" si="3"/>
        <v>1.5</v>
      </c>
      <c r="J9" s="271">
        <v>-1.5879412526421111E-2</v>
      </c>
      <c r="K9" s="285">
        <f t="shared" si="4"/>
        <v>5</v>
      </c>
      <c r="L9" s="271">
        <v>0.64780000000000004</v>
      </c>
      <c r="M9" s="285">
        <f t="shared" si="5"/>
        <v>5</v>
      </c>
      <c r="N9" s="285">
        <v>38.020000000000003</v>
      </c>
      <c r="O9" s="285">
        <f t="shared" si="6"/>
        <v>3.375</v>
      </c>
      <c r="P9" s="285">
        <v>1</v>
      </c>
      <c r="Q9" s="285">
        <f t="shared" si="7"/>
        <v>0.5</v>
      </c>
      <c r="R9" s="285">
        <v>7.44</v>
      </c>
      <c r="S9" s="285">
        <f t="shared" si="8"/>
        <v>9</v>
      </c>
      <c r="T9" s="285">
        <v>0</v>
      </c>
      <c r="U9" s="285" t="str">
        <f t="shared" si="9"/>
        <v>0</v>
      </c>
      <c r="V9" s="285">
        <v>5.76</v>
      </c>
      <c r="W9" s="293">
        <f t="shared" si="10"/>
        <v>13.5</v>
      </c>
      <c r="X9" s="285">
        <v>0</v>
      </c>
      <c r="Y9" s="285" t="str">
        <f t="shared" si="11"/>
        <v>0</v>
      </c>
      <c r="Z9" s="285">
        <v>4.66</v>
      </c>
      <c r="AA9" s="285">
        <f t="shared" si="12"/>
        <v>13.5</v>
      </c>
      <c r="AB9" s="285">
        <v>1</v>
      </c>
      <c r="AC9" s="285">
        <f t="shared" si="13"/>
        <v>1.5</v>
      </c>
      <c r="AD9" s="285">
        <v>1.0610999999999999</v>
      </c>
      <c r="AE9" s="285">
        <f t="shared" si="14"/>
        <v>4.5</v>
      </c>
      <c r="AF9" s="285">
        <v>0</v>
      </c>
      <c r="AG9" s="285" t="str">
        <f t="shared" si="15"/>
        <v>0</v>
      </c>
      <c r="AH9" s="271">
        <v>0.33531848234605371</v>
      </c>
      <c r="AI9" s="285">
        <f>IF(AH9&gt;QUARTILE($AH$4:$AH$13,3),$B$75,IF(AND(AH9&lt;=QUARTILE($AH$4:$AH$13,3),AH9&gt;QUARTILE($AH$4:$AH$13,2)),$B$74,IF(AND(AH9&lt;=QUARTILE(AH9:$AH$13,2),AH9&gt;QUARTILE($AH$4:$AH$13,1)),$B$73,$B$72)))</f>
        <v>9</v>
      </c>
      <c r="AJ9" s="285">
        <v>1</v>
      </c>
      <c r="AK9" s="285">
        <f t="shared" si="16"/>
        <v>1</v>
      </c>
      <c r="AL9" s="285">
        <f t="shared" si="17"/>
        <v>95.875</v>
      </c>
      <c r="AM9" s="279" t="s">
        <v>660</v>
      </c>
      <c r="AN9" s="283">
        <v>623390800</v>
      </c>
    </row>
    <row r="10" spans="1:40">
      <c r="A10" s="279" t="s">
        <v>616</v>
      </c>
      <c r="B10" s="285">
        <v>-41.5</v>
      </c>
      <c r="C10" s="261">
        <f t="shared" si="0"/>
        <v>3.375</v>
      </c>
      <c r="D10" s="285">
        <v>0</v>
      </c>
      <c r="E10" s="285" t="str">
        <f t="shared" si="1"/>
        <v>0</v>
      </c>
      <c r="F10" s="285">
        <v>220.2</v>
      </c>
      <c r="G10" s="285">
        <f t="shared" si="2"/>
        <v>13.5</v>
      </c>
      <c r="H10" s="285">
        <v>1</v>
      </c>
      <c r="I10" s="285">
        <f t="shared" si="3"/>
        <v>1.5</v>
      </c>
      <c r="J10" s="271">
        <v>-0.20238822161436576</v>
      </c>
      <c r="K10" s="285">
        <f t="shared" si="4"/>
        <v>1.25</v>
      </c>
      <c r="L10" s="271">
        <v>-1.8548</v>
      </c>
      <c r="M10" s="285">
        <f t="shared" si="5"/>
        <v>1.25</v>
      </c>
      <c r="N10" s="285">
        <v>47.19</v>
      </c>
      <c r="O10" s="285">
        <f t="shared" si="6"/>
        <v>2.25</v>
      </c>
      <c r="P10" s="285">
        <v>0</v>
      </c>
      <c r="Q10" s="285" t="str">
        <f t="shared" si="7"/>
        <v>0</v>
      </c>
      <c r="R10" s="285">
        <v>-48.12</v>
      </c>
      <c r="S10" s="285">
        <f t="shared" si="8"/>
        <v>2.25</v>
      </c>
      <c r="T10" s="285">
        <v>0</v>
      </c>
      <c r="U10" s="285" t="str">
        <f t="shared" si="9"/>
        <v>0</v>
      </c>
      <c r="V10" s="285">
        <v>-50.81</v>
      </c>
      <c r="W10" s="293">
        <f t="shared" si="10"/>
        <v>3.375</v>
      </c>
      <c r="X10" s="285">
        <v>0</v>
      </c>
      <c r="Y10" s="285" t="str">
        <f t="shared" si="11"/>
        <v>0</v>
      </c>
      <c r="Z10" s="285">
        <v>-56.99</v>
      </c>
      <c r="AA10" s="285">
        <f t="shared" si="12"/>
        <v>6.75</v>
      </c>
      <c r="AB10" s="285">
        <v>0</v>
      </c>
      <c r="AC10" s="285" t="str">
        <f t="shared" si="13"/>
        <v>0</v>
      </c>
      <c r="AD10" s="285">
        <v>0.66310000000000002</v>
      </c>
      <c r="AE10" s="285">
        <f t="shared" si="14"/>
        <v>1.125</v>
      </c>
      <c r="AF10" s="285">
        <v>0</v>
      </c>
      <c r="AG10" s="285" t="str">
        <f t="shared" si="15"/>
        <v>0</v>
      </c>
      <c r="AH10" s="271">
        <v>1.2307231372734828</v>
      </c>
      <c r="AI10" s="285">
        <f>IF(AH10&gt;QUARTILE($AH$4:$AH$13,3),$B$75,IF(AND(AH10&lt;=QUARTILE($AH$4:$AH$13,3),AH10&gt;QUARTILE($AH$4:$AH$13,2)),$B$74,IF(AND(AH10&lt;=QUARTILE(AH10:$AH$13,2),AH10&gt;QUARTILE($AH$4:$AH$13,1)),$B$73,$B$72)))</f>
        <v>9</v>
      </c>
      <c r="AJ10" s="285">
        <v>1</v>
      </c>
      <c r="AK10" s="285">
        <f t="shared" si="16"/>
        <v>1</v>
      </c>
      <c r="AL10" s="285">
        <f t="shared" si="17"/>
        <v>46.625</v>
      </c>
      <c r="AM10" s="279" t="s">
        <v>616</v>
      </c>
      <c r="AN10" s="283">
        <v>611475900</v>
      </c>
    </row>
    <row r="11" spans="1:40">
      <c r="A11" s="279" t="s">
        <v>663</v>
      </c>
      <c r="B11" s="285">
        <v>3.5</v>
      </c>
      <c r="C11" s="261">
        <f t="shared" si="0"/>
        <v>10.125</v>
      </c>
      <c r="D11" s="285">
        <v>1</v>
      </c>
      <c r="E11" s="285">
        <f t="shared" si="1"/>
        <v>1.5</v>
      </c>
      <c r="F11" s="285">
        <v>8.6999999999999993</v>
      </c>
      <c r="G11" s="285">
        <f t="shared" si="2"/>
        <v>10.125</v>
      </c>
      <c r="H11" s="285">
        <v>1</v>
      </c>
      <c r="I11" s="285">
        <f t="shared" si="3"/>
        <v>1.5</v>
      </c>
      <c r="J11" s="271">
        <v>-3.9357131075118401E-3</v>
      </c>
      <c r="K11" s="285">
        <f t="shared" si="4"/>
        <v>5</v>
      </c>
      <c r="L11" s="271">
        <v>0.34510000000000002</v>
      </c>
      <c r="M11" s="285">
        <f t="shared" si="5"/>
        <v>3.75</v>
      </c>
      <c r="N11" s="285">
        <v>20.29</v>
      </c>
      <c r="O11" s="285">
        <f t="shared" si="6"/>
        <v>3.375</v>
      </c>
      <c r="P11" s="285">
        <v>1</v>
      </c>
      <c r="Q11" s="285">
        <f t="shared" si="7"/>
        <v>0.5</v>
      </c>
      <c r="R11" s="285">
        <v>5.74</v>
      </c>
      <c r="S11" s="285">
        <f t="shared" si="8"/>
        <v>9</v>
      </c>
      <c r="T11" s="285">
        <v>1</v>
      </c>
      <c r="U11" s="285">
        <f t="shared" si="9"/>
        <v>1</v>
      </c>
      <c r="V11" s="285">
        <v>2.9</v>
      </c>
      <c r="W11" s="293">
        <f t="shared" si="10"/>
        <v>13.5</v>
      </c>
      <c r="X11" s="285">
        <v>1</v>
      </c>
      <c r="Y11" s="285">
        <f t="shared" si="11"/>
        <v>1.5</v>
      </c>
      <c r="Z11" s="285">
        <v>1.18</v>
      </c>
      <c r="AA11" s="285">
        <f t="shared" si="12"/>
        <v>10.125</v>
      </c>
      <c r="AB11" s="285">
        <v>1</v>
      </c>
      <c r="AC11" s="285">
        <f t="shared" si="13"/>
        <v>1.5</v>
      </c>
      <c r="AD11" s="285">
        <v>1.0299</v>
      </c>
      <c r="AE11" s="285">
        <f t="shared" si="14"/>
        <v>4.5</v>
      </c>
      <c r="AF11" s="285">
        <v>1</v>
      </c>
      <c r="AG11" s="285">
        <f t="shared" si="15"/>
        <v>0.5</v>
      </c>
      <c r="AH11" s="271">
        <v>0.13240197748918309</v>
      </c>
      <c r="AI11" s="285">
        <f>IF(AH11&gt;QUARTILE($AH$4:$AH$13,3),$B$75,IF(AND(AH11&lt;=QUARTILE($AH$4:$AH$13,3),AH11&gt;QUARTILE($AH$4:$AH$13,2)),$B$74,IF(AND(AH11&lt;=QUARTILE(AH11:$AH$13,2),AH11&gt;QUARTILE($AH$4:$AH$13,1)),$B$73,$B$72)))</f>
        <v>6.75</v>
      </c>
      <c r="AJ11" s="285">
        <v>1</v>
      </c>
      <c r="AK11" s="285">
        <f t="shared" si="16"/>
        <v>1</v>
      </c>
      <c r="AL11" s="285">
        <f t="shared" si="17"/>
        <v>85.25</v>
      </c>
      <c r="AM11" s="279" t="s">
        <v>663</v>
      </c>
      <c r="AN11" s="283">
        <v>545105900</v>
      </c>
    </row>
    <row r="12" spans="1:40">
      <c r="A12" s="279" t="s">
        <v>659</v>
      </c>
      <c r="B12" s="285">
        <v>-5</v>
      </c>
      <c r="C12" s="261">
        <f t="shared" si="0"/>
        <v>6.75</v>
      </c>
      <c r="D12" s="285">
        <v>0</v>
      </c>
      <c r="E12" s="285" t="str">
        <f t="shared" si="1"/>
        <v>0</v>
      </c>
      <c r="F12" s="285">
        <v>-14.2</v>
      </c>
      <c r="G12" s="285">
        <f t="shared" si="2"/>
        <v>3.375</v>
      </c>
      <c r="H12" s="285">
        <v>0</v>
      </c>
      <c r="I12" s="285" t="str">
        <f t="shared" si="3"/>
        <v>0</v>
      </c>
      <c r="J12" s="271">
        <v>-0.20108658398533241</v>
      </c>
      <c r="K12" s="285">
        <f t="shared" si="4"/>
        <v>2.5</v>
      </c>
      <c r="L12" s="271">
        <v>1.3493999999999999</v>
      </c>
      <c r="M12" s="285">
        <f t="shared" si="5"/>
        <v>5</v>
      </c>
      <c r="N12" s="285">
        <v>2.2400000000000002</v>
      </c>
      <c r="O12" s="285">
        <f t="shared" si="6"/>
        <v>4.5</v>
      </c>
      <c r="P12" s="285">
        <v>0</v>
      </c>
      <c r="Q12" s="285" t="str">
        <f t="shared" si="7"/>
        <v>0</v>
      </c>
      <c r="R12" s="285">
        <v>-1.61</v>
      </c>
      <c r="S12" s="285">
        <f t="shared" si="8"/>
        <v>2.25</v>
      </c>
      <c r="T12" s="285">
        <v>1</v>
      </c>
      <c r="U12" s="285">
        <f t="shared" si="9"/>
        <v>1</v>
      </c>
      <c r="V12" s="285">
        <v>-4.3600000000000003</v>
      </c>
      <c r="W12" s="293">
        <f t="shared" si="10"/>
        <v>3.375</v>
      </c>
      <c r="X12" s="285">
        <v>0</v>
      </c>
      <c r="Y12" s="285" t="str">
        <f t="shared" si="11"/>
        <v>0</v>
      </c>
      <c r="Z12" s="285">
        <v>-4.83</v>
      </c>
      <c r="AA12" s="285">
        <f t="shared" si="12"/>
        <v>6.75</v>
      </c>
      <c r="AB12" s="285">
        <v>0</v>
      </c>
      <c r="AC12" s="285" t="str">
        <f t="shared" si="13"/>
        <v>0</v>
      </c>
      <c r="AD12" s="285">
        <v>0.95809999999999995</v>
      </c>
      <c r="AE12" s="285">
        <f t="shared" si="14"/>
        <v>2.25</v>
      </c>
      <c r="AF12" s="285">
        <v>0</v>
      </c>
      <c r="AG12" s="285" t="str">
        <f t="shared" si="15"/>
        <v>0</v>
      </c>
      <c r="AH12" s="292">
        <v>-0.1115862752481762</v>
      </c>
      <c r="AI12" s="285">
        <f>IF(AH12&gt;QUARTILE($AH$4:$AH$13,3),$B$75,IF(AND(AH12&lt;=QUARTILE($AH$4:$AH$13,3),AH12&gt;QUARTILE($AH$4:$AH$13,2)),$B$74,IF(AND(AH12&lt;=QUARTILE(AH12:$AH$13,2),AH12&gt;QUARTILE($AH$4:$AH$13,1)),$B$73,$B$72)))</f>
        <v>2.25</v>
      </c>
      <c r="AJ12" s="285">
        <v>0</v>
      </c>
      <c r="AK12" s="285" t="str">
        <f t="shared" si="16"/>
        <v>0</v>
      </c>
      <c r="AL12" s="285">
        <f t="shared" si="17"/>
        <v>40</v>
      </c>
      <c r="AM12" s="279" t="s">
        <v>659</v>
      </c>
      <c r="AN12" s="283">
        <v>493185900</v>
      </c>
    </row>
    <row r="13" spans="1:40">
      <c r="A13" s="279" t="s">
        <v>611</v>
      </c>
      <c r="B13" s="285">
        <v>-71</v>
      </c>
      <c r="C13" s="261">
        <f t="shared" si="0"/>
        <v>3.375</v>
      </c>
      <c r="D13" s="285">
        <v>0</v>
      </c>
      <c r="E13" s="285" t="str">
        <f t="shared" si="1"/>
        <v>0</v>
      </c>
      <c r="F13" s="285">
        <v>519.20000000000005</v>
      </c>
      <c r="G13" s="285">
        <f t="shared" si="2"/>
        <v>13.5</v>
      </c>
      <c r="H13" s="285">
        <v>1</v>
      </c>
      <c r="I13" s="285">
        <f t="shared" si="3"/>
        <v>1.5</v>
      </c>
      <c r="J13" s="271">
        <v>-0.38940000000000002</v>
      </c>
      <c r="K13" s="285">
        <f t="shared" si="4"/>
        <v>1.25</v>
      </c>
      <c r="L13" s="271">
        <v>-9.4475999999999996</v>
      </c>
      <c r="M13" s="285">
        <f t="shared" si="5"/>
        <v>1.25</v>
      </c>
      <c r="N13" s="285">
        <v>49.21</v>
      </c>
      <c r="O13" s="285">
        <f t="shared" si="6"/>
        <v>2.25</v>
      </c>
      <c r="P13" s="285">
        <v>0</v>
      </c>
      <c r="Q13" s="285" t="str">
        <f t="shared" si="7"/>
        <v>0</v>
      </c>
      <c r="R13" s="285">
        <v>-189.75</v>
      </c>
      <c r="S13" s="285">
        <f t="shared" si="8"/>
        <v>2.25</v>
      </c>
      <c r="T13" s="285">
        <v>0</v>
      </c>
      <c r="U13" s="285" t="str">
        <f t="shared" si="9"/>
        <v>0</v>
      </c>
      <c r="V13" s="285">
        <v>-201.66</v>
      </c>
      <c r="W13" s="293">
        <f t="shared" si="10"/>
        <v>3.375</v>
      </c>
      <c r="X13" s="285">
        <v>0</v>
      </c>
      <c r="Y13" s="285" t="str">
        <f t="shared" si="11"/>
        <v>0</v>
      </c>
      <c r="Z13" s="285">
        <v>-236.42</v>
      </c>
      <c r="AA13" s="285">
        <f t="shared" si="12"/>
        <v>3.375</v>
      </c>
      <c r="AB13" s="285">
        <v>0</v>
      </c>
      <c r="AC13" s="285" t="str">
        <f t="shared" si="13"/>
        <v>0</v>
      </c>
      <c r="AD13" s="285">
        <v>0.33150000000000002</v>
      </c>
      <c r="AE13" s="285">
        <f t="shared" si="14"/>
        <v>1.125</v>
      </c>
      <c r="AF13" s="285">
        <v>0</v>
      </c>
      <c r="AG13" s="285" t="str">
        <f t="shared" si="15"/>
        <v>0</v>
      </c>
      <c r="AH13" s="292">
        <v>1.8225991154412489</v>
      </c>
      <c r="AI13" s="285">
        <f>IF(AH13&gt;QUARTILE($AH$4:$AH$13,3),$B$75,IF(AND(AH13&lt;=QUARTILE($AH$4:$AH$13,3),AH13&gt;QUARTILE($AH$4:$AH$13,2)),$B$74,IF(AND(AH13&lt;=QUARTILE(AH13:$AH$13,2),AH13&gt;QUARTILE($AH$4:$AH$13,1)),$B$73,$B$72)))</f>
        <v>9</v>
      </c>
      <c r="AJ13" s="285">
        <v>1</v>
      </c>
      <c r="AK13" s="285">
        <f t="shared" si="16"/>
        <v>1</v>
      </c>
      <c r="AL13" s="285">
        <f t="shared" si="17"/>
        <v>43.25</v>
      </c>
      <c r="AM13" s="279" t="s">
        <v>611</v>
      </c>
      <c r="AN13" s="283">
        <v>329749100</v>
      </c>
    </row>
    <row r="14" spans="1:40">
      <c r="G14" s="285"/>
    </row>
    <row r="15" spans="1:40" ht="18.75">
      <c r="A15" s="267" t="s">
        <v>60</v>
      </c>
      <c r="B15" s="267" t="s">
        <v>59</v>
      </c>
      <c r="C15" s="267"/>
      <c r="D15" s="267"/>
      <c r="E15" s="267"/>
      <c r="F15" s="267" t="s">
        <v>58</v>
      </c>
      <c r="G15" s="267"/>
      <c r="H15" s="266"/>
      <c r="I15" s="266"/>
      <c r="J15" s="266"/>
      <c r="K15" s="266"/>
      <c r="L15" s="266" t="s">
        <v>57</v>
      </c>
      <c r="M15" s="266"/>
    </row>
    <row r="16" spans="1:40" ht="17.25">
      <c r="A16" s="265" t="s">
        <v>56</v>
      </c>
      <c r="B16" s="256">
        <v>13.5</v>
      </c>
      <c r="D16" s="264"/>
      <c r="E16" s="264"/>
      <c r="F16" s="256">
        <v>1.5</v>
      </c>
      <c r="G16" s="256"/>
      <c r="H16" s="262"/>
      <c r="I16" s="262"/>
      <c r="J16" s="262"/>
      <c r="K16" s="262"/>
      <c r="L16" s="256">
        <v>15</v>
      </c>
      <c r="M16" s="256"/>
    </row>
    <row r="17" spans="1:13">
      <c r="A17" s="252" t="s">
        <v>657</v>
      </c>
      <c r="B17" s="250">
        <f>B16*0.25</f>
        <v>3.375</v>
      </c>
      <c r="D17" s="250"/>
      <c r="E17" s="250"/>
      <c r="F17" s="250" t="s">
        <v>7</v>
      </c>
      <c r="G17" s="250"/>
      <c r="H17" s="236">
        <v>1.5</v>
      </c>
    </row>
    <row r="18" spans="1:13">
      <c r="A18" s="252" t="s">
        <v>656</v>
      </c>
      <c r="B18" s="250">
        <f>B16*0.5</f>
        <v>6.75</v>
      </c>
      <c r="D18" s="250"/>
      <c r="E18" s="250"/>
      <c r="F18" s="250" t="s">
        <v>4</v>
      </c>
      <c r="G18" s="250"/>
      <c r="H18" s="236">
        <v>0</v>
      </c>
    </row>
    <row r="19" spans="1:13">
      <c r="A19" s="252" t="s">
        <v>655</v>
      </c>
      <c r="B19" s="250">
        <f>B16*0.75</f>
        <v>10.125</v>
      </c>
      <c r="D19" s="250"/>
      <c r="E19" s="250"/>
      <c r="F19" s="250"/>
      <c r="G19" s="250"/>
    </row>
    <row r="20" spans="1:13">
      <c r="A20" s="252" t="s">
        <v>654</v>
      </c>
      <c r="B20" s="250">
        <f>B16*1</f>
        <v>13.5</v>
      </c>
      <c r="D20" s="250"/>
      <c r="E20" s="250"/>
      <c r="F20" s="250"/>
      <c r="G20" s="250"/>
    </row>
    <row r="21" spans="1:13">
      <c r="D21" s="250"/>
      <c r="E21" s="250"/>
      <c r="F21" s="250"/>
      <c r="G21" s="250"/>
    </row>
    <row r="22" spans="1:13" ht="17.25">
      <c r="A22" s="265" t="s">
        <v>51</v>
      </c>
      <c r="B22" s="256">
        <v>13.5</v>
      </c>
      <c r="D22" s="250"/>
      <c r="E22" s="250"/>
      <c r="F22" s="250"/>
      <c r="G22" s="250"/>
    </row>
    <row r="23" spans="1:13">
      <c r="A23" s="252" t="s">
        <v>653</v>
      </c>
      <c r="B23" s="250">
        <f>B22*0.25</f>
        <v>3.375</v>
      </c>
      <c r="D23" s="264"/>
      <c r="E23" s="264"/>
      <c r="F23" s="256">
        <v>1.5</v>
      </c>
      <c r="G23" s="256"/>
      <c r="H23" s="262"/>
      <c r="I23" s="262"/>
      <c r="J23" s="262"/>
      <c r="K23" s="262"/>
      <c r="L23" s="256">
        <v>15</v>
      </c>
      <c r="M23" s="256"/>
    </row>
    <row r="24" spans="1:13">
      <c r="A24" s="252" t="s">
        <v>652</v>
      </c>
      <c r="B24" s="250">
        <f>B22*0.5</f>
        <v>6.75</v>
      </c>
      <c r="D24" s="250"/>
      <c r="E24" s="250"/>
      <c r="F24" s="250" t="s">
        <v>7</v>
      </c>
      <c r="G24" s="250"/>
      <c r="H24" s="236">
        <v>1.5</v>
      </c>
    </row>
    <row r="25" spans="1:13">
      <c r="A25" s="252" t="s">
        <v>651</v>
      </c>
      <c r="B25" s="250">
        <f>B22*0.75</f>
        <v>10.125</v>
      </c>
      <c r="D25" s="250"/>
      <c r="E25" s="250"/>
      <c r="F25" s="250" t="s">
        <v>4</v>
      </c>
      <c r="G25" s="250"/>
      <c r="H25" s="236">
        <v>0</v>
      </c>
    </row>
    <row r="26" spans="1:13">
      <c r="A26" s="252" t="s">
        <v>650</v>
      </c>
      <c r="B26" s="250">
        <f>B22*1</f>
        <v>13.5</v>
      </c>
      <c r="C26" s="250"/>
      <c r="D26" s="250"/>
      <c r="E26" s="250"/>
      <c r="F26" s="250"/>
      <c r="G26" s="250"/>
    </row>
    <row r="27" spans="1:13">
      <c r="C27" s="250"/>
      <c r="D27" s="250"/>
      <c r="E27" s="250"/>
      <c r="F27" s="250"/>
      <c r="G27" s="250"/>
    </row>
    <row r="28" spans="1:13">
      <c r="C28" s="250"/>
      <c r="D28" s="250"/>
      <c r="E28" s="250"/>
      <c r="F28" s="250"/>
      <c r="G28" s="250"/>
    </row>
    <row r="29" spans="1:13" ht="17.25">
      <c r="A29" s="265" t="s">
        <v>46</v>
      </c>
      <c r="B29" s="256">
        <v>5</v>
      </c>
      <c r="C29"/>
      <c r="D29"/>
      <c r="E29" s="250"/>
      <c r="F29" s="250"/>
      <c r="G29" s="250"/>
      <c r="L29" s="249">
        <v>5</v>
      </c>
      <c r="M29" s="249"/>
    </row>
    <row r="30" spans="1:13">
      <c r="A30" s="236" t="s">
        <v>690</v>
      </c>
      <c r="B30" s="250">
        <f>B29*0.25</f>
        <v>1.25</v>
      </c>
      <c r="C30"/>
      <c r="D30">
        <f>QUARTILE(J4:J12,1)</f>
        <v>-0.20108658398533241</v>
      </c>
      <c r="E30" s="250"/>
      <c r="F30" s="250"/>
      <c r="G30" s="250"/>
    </row>
    <row r="31" spans="1:13">
      <c r="A31" s="236" t="s">
        <v>689</v>
      </c>
      <c r="B31" s="250">
        <f>B29*0.5</f>
        <v>2.5</v>
      </c>
      <c r="C31"/>
      <c r="D31">
        <f>QUARTILE(J4:J12,2)</f>
        <v>-0.13975778154332974</v>
      </c>
      <c r="E31" s="250"/>
      <c r="F31" s="250"/>
      <c r="G31" s="250"/>
    </row>
    <row r="32" spans="1:13">
      <c r="A32" s="236" t="s">
        <v>688</v>
      </c>
      <c r="B32" s="250">
        <f>B29*0.75</f>
        <v>3.75</v>
      </c>
      <c r="C32"/>
      <c r="D32">
        <f>QUARTILE(J4:J12,3)</f>
        <v>-8.4991908913145675E-2</v>
      </c>
      <c r="E32" s="250"/>
      <c r="F32" s="250"/>
      <c r="G32" s="250"/>
    </row>
    <row r="33" spans="1:13">
      <c r="A33" s="236" t="s">
        <v>687</v>
      </c>
      <c r="B33" s="250">
        <f>B29*1</f>
        <v>5</v>
      </c>
      <c r="C33"/>
      <c r="D33"/>
      <c r="E33" s="250"/>
      <c r="F33" s="250"/>
      <c r="G33" s="250"/>
    </row>
    <row r="34" spans="1:13">
      <c r="C34"/>
      <c r="D34"/>
      <c r="E34" s="250"/>
      <c r="F34" s="250"/>
      <c r="G34" s="250"/>
    </row>
    <row r="35" spans="1:13" ht="17.25">
      <c r="A35" s="265" t="s">
        <v>41</v>
      </c>
      <c r="B35" s="256">
        <v>5</v>
      </c>
      <c r="C35"/>
      <c r="D35"/>
      <c r="E35" s="250"/>
      <c r="F35" s="250"/>
      <c r="G35" s="250"/>
      <c r="L35" s="249">
        <v>5</v>
      </c>
      <c r="M35" s="249"/>
    </row>
    <row r="36" spans="1:13">
      <c r="A36" s="236" t="s">
        <v>686</v>
      </c>
      <c r="B36" s="250">
        <f>B35*0.25</f>
        <v>1.25</v>
      </c>
      <c r="C36"/>
      <c r="D36">
        <f>QUARTILE(L4:L12,1)</f>
        <v>-0.432</v>
      </c>
      <c r="E36" s="250"/>
      <c r="F36" s="250"/>
      <c r="G36" s="250"/>
    </row>
    <row r="37" spans="1:13">
      <c r="A37" s="236" t="s">
        <v>685</v>
      </c>
      <c r="B37" s="250">
        <f>B35*0.5</f>
        <v>2.5</v>
      </c>
      <c r="C37"/>
      <c r="D37">
        <f>QUARTILE(L4:L12,2)</f>
        <v>0.34510000000000002</v>
      </c>
      <c r="E37" s="250"/>
      <c r="F37" s="250"/>
      <c r="G37" s="250"/>
    </row>
    <row r="38" spans="1:13">
      <c r="A38" s="236" t="s">
        <v>684</v>
      </c>
      <c r="B38" s="250">
        <f>B35*0.75</f>
        <v>3.75</v>
      </c>
      <c r="C38"/>
      <c r="D38">
        <f>QUARTILE(L4:L12,3)</f>
        <v>0.64780000000000004</v>
      </c>
      <c r="E38" s="250"/>
      <c r="F38" s="250"/>
      <c r="G38" s="250"/>
    </row>
    <row r="39" spans="1:13">
      <c r="A39" s="236" t="s">
        <v>683</v>
      </c>
      <c r="B39" s="250">
        <f>B35*1</f>
        <v>5</v>
      </c>
      <c r="C39"/>
      <c r="D39"/>
      <c r="E39" s="250"/>
      <c r="F39" s="250"/>
      <c r="G39" s="250"/>
    </row>
    <row r="40" spans="1:13">
      <c r="C40"/>
      <c r="D40"/>
      <c r="E40" s="250"/>
      <c r="F40" s="250"/>
      <c r="G40" s="250"/>
    </row>
    <row r="41" spans="1:13" ht="17.25">
      <c r="A41" s="290" t="s">
        <v>36</v>
      </c>
      <c r="B41" s="256">
        <v>4.5</v>
      </c>
      <c r="C41"/>
      <c r="D41"/>
      <c r="E41" s="254"/>
      <c r="F41" s="254">
        <v>0.5</v>
      </c>
      <c r="G41" s="254"/>
      <c r="H41" s="258"/>
      <c r="I41" s="258"/>
      <c r="J41" s="258"/>
      <c r="K41" s="258"/>
      <c r="L41" s="254">
        <v>5</v>
      </c>
      <c r="M41" s="254"/>
    </row>
    <row r="42" spans="1:13">
      <c r="A42" s="236" t="s">
        <v>682</v>
      </c>
      <c r="B42" s="250">
        <v>4.5</v>
      </c>
      <c r="C42"/>
      <c r="D42">
        <f>QUARTILE(N4:N12,1)</f>
        <v>2.2400000000000002</v>
      </c>
      <c r="E42" s="250"/>
      <c r="F42" s="250" t="s">
        <v>7</v>
      </c>
      <c r="G42" s="250"/>
      <c r="H42" s="236">
        <v>0.5</v>
      </c>
    </row>
    <row r="43" spans="1:13">
      <c r="A43" s="236" t="s">
        <v>681</v>
      </c>
      <c r="B43" s="250">
        <v>3.375</v>
      </c>
      <c r="C43"/>
      <c r="D43">
        <f>QUARTILE(N4:N12,2)</f>
        <v>38.020000000000003</v>
      </c>
      <c r="E43" s="250"/>
      <c r="F43" s="250" t="s">
        <v>4</v>
      </c>
      <c r="G43" s="250"/>
      <c r="H43" s="236">
        <v>0</v>
      </c>
    </row>
    <row r="44" spans="1:13">
      <c r="A44" s="236" t="s">
        <v>680</v>
      </c>
      <c r="B44" s="250">
        <v>2.25</v>
      </c>
      <c r="C44"/>
      <c r="D44">
        <f>QUARTILE(N4:N12,3)</f>
        <v>51.7</v>
      </c>
      <c r="E44" s="250"/>
      <c r="F44" s="250"/>
      <c r="G44" s="250"/>
    </row>
    <row r="45" spans="1:13">
      <c r="A45" s="236" t="s">
        <v>679</v>
      </c>
      <c r="B45" s="250">
        <v>1.125</v>
      </c>
      <c r="C45"/>
      <c r="D45"/>
      <c r="E45" s="250"/>
      <c r="F45" s="250"/>
      <c r="G45" s="250"/>
    </row>
    <row r="46" spans="1:13">
      <c r="C46"/>
      <c r="D46"/>
      <c r="E46" s="250"/>
      <c r="F46" s="250"/>
      <c r="G46" s="250"/>
    </row>
    <row r="47" spans="1:13" ht="17.25">
      <c r="A47" s="290" t="s">
        <v>31</v>
      </c>
      <c r="B47" s="256">
        <v>9</v>
      </c>
      <c r="C47" s="254"/>
      <c r="D47" s="254"/>
      <c r="E47" s="254"/>
      <c r="F47" s="254">
        <v>1</v>
      </c>
      <c r="G47" s="254"/>
      <c r="H47" s="258"/>
      <c r="I47" s="258"/>
      <c r="J47" s="258"/>
      <c r="K47" s="258"/>
      <c r="L47" s="254">
        <v>10</v>
      </c>
      <c r="M47" s="254"/>
    </row>
    <row r="48" spans="1:13">
      <c r="A48" s="252" t="s">
        <v>637</v>
      </c>
      <c r="B48" s="250">
        <f>B47*0.25</f>
        <v>2.25</v>
      </c>
      <c r="C48" s="250"/>
      <c r="D48" s="250"/>
      <c r="E48" s="250"/>
      <c r="F48" s="250" t="s">
        <v>7</v>
      </c>
      <c r="G48" s="250"/>
      <c r="H48" s="236">
        <v>1</v>
      </c>
    </row>
    <row r="49" spans="1:13">
      <c r="A49" s="252" t="s">
        <v>636</v>
      </c>
      <c r="B49" s="250">
        <f>B47*0.5</f>
        <v>4.5</v>
      </c>
      <c r="C49" s="250"/>
      <c r="D49" s="250"/>
      <c r="E49" s="250"/>
      <c r="F49" s="250" t="s">
        <v>4</v>
      </c>
      <c r="G49" s="250"/>
      <c r="H49" s="236">
        <v>0</v>
      </c>
    </row>
    <row r="50" spans="1:13">
      <c r="A50" s="252" t="s">
        <v>635</v>
      </c>
      <c r="B50" s="250">
        <f>B47*0.75</f>
        <v>6.75</v>
      </c>
      <c r="C50" s="250"/>
      <c r="D50" s="250"/>
      <c r="E50" s="250"/>
      <c r="F50" s="250"/>
      <c r="G50" s="250"/>
    </row>
    <row r="51" spans="1:13">
      <c r="A51" s="252" t="s">
        <v>634</v>
      </c>
      <c r="B51" s="250">
        <f>B47*1</f>
        <v>9</v>
      </c>
      <c r="C51" s="250"/>
      <c r="D51" s="250"/>
      <c r="E51" s="250"/>
      <c r="F51" s="250"/>
      <c r="G51" s="250"/>
    </row>
    <row r="52" spans="1:13">
      <c r="C52" s="250"/>
      <c r="D52" s="250"/>
      <c r="E52" s="250"/>
      <c r="F52" s="250"/>
      <c r="G52" s="250"/>
    </row>
    <row r="53" spans="1:13" ht="17.25">
      <c r="A53" s="290" t="s">
        <v>26</v>
      </c>
      <c r="B53" s="256">
        <v>13.5</v>
      </c>
      <c r="C53" s="254"/>
      <c r="D53" s="254"/>
      <c r="E53" s="254"/>
      <c r="F53" s="254">
        <v>1.5</v>
      </c>
      <c r="G53" s="254"/>
      <c r="H53" s="258"/>
      <c r="I53" s="258"/>
      <c r="J53" s="258"/>
      <c r="K53" s="258"/>
      <c r="L53" s="254">
        <v>15</v>
      </c>
      <c r="M53" s="254"/>
    </row>
    <row r="54" spans="1:13">
      <c r="A54" s="252" t="s">
        <v>633</v>
      </c>
      <c r="B54" s="250">
        <f>B53*0.25</f>
        <v>3.375</v>
      </c>
      <c r="C54" s="250"/>
      <c r="D54" s="250"/>
      <c r="E54" s="250"/>
      <c r="F54" s="250" t="s">
        <v>7</v>
      </c>
      <c r="G54" s="250"/>
      <c r="H54" s="236">
        <v>1.5</v>
      </c>
    </row>
    <row r="55" spans="1:13">
      <c r="A55" s="252" t="s">
        <v>632</v>
      </c>
      <c r="B55" s="250">
        <f>B53*0.5</f>
        <v>6.75</v>
      </c>
      <c r="C55" s="250"/>
      <c r="D55" s="250"/>
      <c r="E55" s="250"/>
      <c r="F55" s="250" t="s">
        <v>4</v>
      </c>
      <c r="G55" s="250"/>
      <c r="H55" s="236">
        <v>0</v>
      </c>
    </row>
    <row r="56" spans="1:13">
      <c r="A56" s="252" t="s">
        <v>631</v>
      </c>
      <c r="B56" s="250">
        <f>B53*0.75</f>
        <v>10.125</v>
      </c>
      <c r="C56" s="250"/>
      <c r="D56" s="250"/>
      <c r="E56" s="250"/>
      <c r="F56" s="250"/>
      <c r="G56" s="250"/>
    </row>
    <row r="57" spans="1:13">
      <c r="A57" s="252" t="s">
        <v>630</v>
      </c>
      <c r="B57" s="250">
        <f>B53*1</f>
        <v>13.5</v>
      </c>
      <c r="C57" s="250"/>
      <c r="D57" s="250"/>
      <c r="E57" s="250"/>
      <c r="F57" s="250"/>
      <c r="G57" s="250"/>
    </row>
    <row r="58" spans="1:13">
      <c r="A58" s="252"/>
      <c r="C58" s="250"/>
      <c r="D58" s="250"/>
      <c r="E58" s="250"/>
      <c r="F58" s="250"/>
      <c r="G58" s="250"/>
    </row>
    <row r="59" spans="1:13" ht="17.25">
      <c r="A59" s="290" t="s">
        <v>21</v>
      </c>
      <c r="B59" s="256">
        <v>13.5</v>
      </c>
      <c r="C59" s="254"/>
      <c r="D59" s="254"/>
      <c r="E59" s="254"/>
      <c r="F59" s="254">
        <v>1.5</v>
      </c>
      <c r="G59" s="254"/>
      <c r="H59" s="258"/>
      <c r="I59" s="258"/>
      <c r="J59" s="258"/>
      <c r="K59" s="258"/>
      <c r="L59" s="254">
        <v>15</v>
      </c>
      <c r="M59" s="254"/>
    </row>
    <row r="60" spans="1:13">
      <c r="A60" s="252" t="s">
        <v>629</v>
      </c>
      <c r="B60" s="250">
        <f>B59*0.25</f>
        <v>3.375</v>
      </c>
      <c r="C60" s="250"/>
      <c r="D60" s="250"/>
      <c r="E60" s="250"/>
      <c r="F60" s="250" t="s">
        <v>7</v>
      </c>
      <c r="G60" s="250"/>
      <c r="H60" s="236">
        <v>1.5</v>
      </c>
    </row>
    <row r="61" spans="1:13">
      <c r="A61" s="252" t="s">
        <v>628</v>
      </c>
      <c r="B61" s="250">
        <f>B59*0.5</f>
        <v>6.75</v>
      </c>
      <c r="C61" s="250"/>
      <c r="D61" s="250"/>
      <c r="E61" s="250"/>
      <c r="F61" s="250" t="s">
        <v>4</v>
      </c>
      <c r="G61" s="250"/>
      <c r="H61" s="236">
        <v>0</v>
      </c>
    </row>
    <row r="62" spans="1:13">
      <c r="A62" s="252" t="s">
        <v>627</v>
      </c>
      <c r="B62" s="250">
        <f>B59*0.75</f>
        <v>10.125</v>
      </c>
      <c r="C62" s="250"/>
      <c r="D62" s="250"/>
      <c r="E62" s="250"/>
      <c r="F62" s="250"/>
      <c r="G62" s="250"/>
    </row>
    <row r="63" spans="1:13">
      <c r="A63" s="252" t="s">
        <v>626</v>
      </c>
      <c r="B63" s="250">
        <f>B59*1</f>
        <v>13.5</v>
      </c>
      <c r="C63" s="250"/>
      <c r="D63" s="250"/>
      <c r="E63" s="250"/>
      <c r="F63" s="250"/>
      <c r="G63" s="250"/>
    </row>
    <row r="64" spans="1:13">
      <c r="C64" s="250"/>
      <c r="D64" s="250"/>
      <c r="E64" s="250"/>
      <c r="F64" s="250"/>
      <c r="G64" s="250"/>
    </row>
    <row r="65" spans="1:13" ht="17.25">
      <c r="A65" s="290" t="s">
        <v>16</v>
      </c>
      <c r="B65" s="256">
        <v>4.5</v>
      </c>
      <c r="C65" s="254"/>
      <c r="D65" s="254"/>
      <c r="E65" s="254"/>
      <c r="F65" s="254">
        <v>0.5</v>
      </c>
      <c r="G65" s="254"/>
      <c r="H65" s="258"/>
      <c r="I65" s="258"/>
      <c r="J65" s="258"/>
      <c r="K65" s="258"/>
      <c r="L65" s="254">
        <v>5</v>
      </c>
      <c r="M65" s="254"/>
    </row>
    <row r="66" spans="1:13">
      <c r="A66" s="252" t="s">
        <v>678</v>
      </c>
      <c r="B66" s="250">
        <f>B65*0.25</f>
        <v>1.125</v>
      </c>
      <c r="C66" s="250"/>
      <c r="D66" s="291">
        <f>QUARTILE(AD4:AD12,1)</f>
        <v>0.95809999999999995</v>
      </c>
      <c r="E66" s="250"/>
      <c r="F66" s="250" t="s">
        <v>7</v>
      </c>
      <c r="G66" s="250"/>
      <c r="H66" s="236">
        <v>0.5</v>
      </c>
    </row>
    <row r="67" spans="1:13">
      <c r="A67" s="252" t="s">
        <v>677</v>
      </c>
      <c r="B67" s="250">
        <f>B65*0.5</f>
        <v>2.25</v>
      </c>
      <c r="C67" s="250"/>
      <c r="D67" s="291">
        <f>QUARTILE(AD4:AD12,2)</f>
        <v>0.98509999999999998</v>
      </c>
      <c r="E67" s="250"/>
      <c r="F67" s="250" t="s">
        <v>4</v>
      </c>
      <c r="G67" s="250"/>
      <c r="H67" s="236">
        <v>0</v>
      </c>
    </row>
    <row r="68" spans="1:13">
      <c r="A68" s="252" t="s">
        <v>676</v>
      </c>
      <c r="B68" s="250">
        <f>B65*0.75</f>
        <v>3.375</v>
      </c>
      <c r="C68" s="250"/>
      <c r="D68" s="291">
        <f>QUARTILE(AD4:AD12,3)</f>
        <v>1.016</v>
      </c>
      <c r="E68" s="250"/>
      <c r="F68" s="250"/>
      <c r="G68" s="250"/>
    </row>
    <row r="69" spans="1:13">
      <c r="A69" s="252" t="s">
        <v>675</v>
      </c>
      <c r="B69" s="250">
        <f>B65*1</f>
        <v>4.5</v>
      </c>
      <c r="C69" s="250"/>
      <c r="D69" s="250"/>
      <c r="E69" s="250"/>
      <c r="F69" s="250"/>
      <c r="G69" s="250"/>
    </row>
    <row r="70" spans="1:13">
      <c r="C70" s="250"/>
      <c r="D70" s="250"/>
      <c r="E70" s="250"/>
      <c r="F70" s="250"/>
      <c r="G70" s="250"/>
    </row>
    <row r="71" spans="1:13" ht="17.25">
      <c r="A71" s="290" t="s">
        <v>11</v>
      </c>
      <c r="B71" s="256">
        <v>9</v>
      </c>
      <c r="C71" s="254"/>
      <c r="D71" s="254"/>
      <c r="E71" s="254"/>
      <c r="F71" s="254">
        <v>1</v>
      </c>
      <c r="G71" s="254"/>
      <c r="H71" s="254"/>
      <c r="I71" s="254"/>
      <c r="J71" s="254"/>
      <c r="K71" s="254"/>
      <c r="L71" s="254">
        <v>10</v>
      </c>
      <c r="M71" s="254"/>
    </row>
    <row r="72" spans="1:13">
      <c r="A72" s="252" t="s">
        <v>674</v>
      </c>
      <c r="B72" s="250">
        <f>B71*0.25</f>
        <v>2.25</v>
      </c>
      <c r="C72" s="250"/>
      <c r="D72" s="289">
        <f>QUARTILE(AH4:AH12,1)</f>
        <v>-4.4977437586222239E-2</v>
      </c>
      <c r="E72" s="250"/>
      <c r="F72" s="250" t="s">
        <v>7</v>
      </c>
      <c r="G72" s="250"/>
      <c r="H72" s="236">
        <v>1</v>
      </c>
    </row>
    <row r="73" spans="1:13">
      <c r="A73" s="252" t="s">
        <v>673</v>
      </c>
      <c r="B73" s="250">
        <f>B71*0.5</f>
        <v>4.5</v>
      </c>
      <c r="C73" s="250"/>
      <c r="D73" s="289">
        <f>QUARTILE(AH4:AH13,2)</f>
        <v>6.9776006305491134E-2</v>
      </c>
      <c r="E73" s="250"/>
      <c r="F73" s="250" t="s">
        <v>4</v>
      </c>
      <c r="G73" s="250"/>
      <c r="H73" s="236">
        <v>0</v>
      </c>
    </row>
    <row r="74" spans="1:13">
      <c r="A74" s="252" t="s">
        <v>672</v>
      </c>
      <c r="B74" s="250">
        <f>B71*0.75</f>
        <v>6.75</v>
      </c>
      <c r="C74" s="250"/>
      <c r="D74" s="289">
        <f>QUARTILE(AH4:AH12,3)</f>
        <v>0.13240197748918309</v>
      </c>
      <c r="E74" s="250"/>
      <c r="F74" s="250"/>
      <c r="G74" s="250"/>
    </row>
    <row r="75" spans="1:13">
      <c r="A75" s="252" t="s">
        <v>671</v>
      </c>
      <c r="B75" s="250">
        <f>B71*1</f>
        <v>9</v>
      </c>
      <c r="C75" s="250"/>
      <c r="D75" s="250"/>
      <c r="E75" s="250"/>
      <c r="F75" s="250"/>
      <c r="G75" s="250"/>
    </row>
    <row r="76" spans="1:13">
      <c r="C76" s="250"/>
      <c r="D76" s="250"/>
      <c r="E76" s="250"/>
      <c r="F76" s="250"/>
      <c r="G76" s="250"/>
    </row>
    <row r="77" spans="1:13" ht="18.75">
      <c r="B77" s="530" t="s">
        <v>0</v>
      </c>
      <c r="C77" s="530"/>
      <c r="D77" s="530"/>
      <c r="E77" s="530"/>
      <c r="F77" s="530"/>
      <c r="G77" s="530"/>
      <c r="H77" s="530"/>
      <c r="I77" s="530"/>
      <c r="J77" s="530"/>
      <c r="K77" s="249"/>
      <c r="L77" s="248">
        <f>SUM(L16:L74)</f>
        <v>100</v>
      </c>
      <c r="M77" s="248"/>
    </row>
    <row r="85" spans="1:40">
      <c r="A85" s="279" t="s">
        <v>615</v>
      </c>
      <c r="B85" s="283">
        <v>320205900</v>
      </c>
      <c r="C85" s="280">
        <v>4.5999999999999996</v>
      </c>
      <c r="D85" s="280">
        <v>11.25</v>
      </c>
      <c r="E85" s="280">
        <v>1</v>
      </c>
      <c r="F85" s="280">
        <v>3.75</v>
      </c>
      <c r="G85" s="280">
        <v>12.9</v>
      </c>
      <c r="H85" s="280">
        <v>8.4375</v>
      </c>
      <c r="I85" s="280">
        <v>1</v>
      </c>
      <c r="J85" s="280">
        <v>3.75</v>
      </c>
      <c r="K85" s="271">
        <v>7.244012704929137E-3</v>
      </c>
      <c r="L85" s="285"/>
      <c r="M85" s="281">
        <v>-0.3715</v>
      </c>
      <c r="N85" s="280"/>
      <c r="O85" s="280">
        <v>113.27</v>
      </c>
      <c r="P85" s="280"/>
      <c r="Q85" s="280">
        <v>0</v>
      </c>
      <c r="R85" s="280">
        <v>0</v>
      </c>
      <c r="S85" s="280">
        <v>12.58</v>
      </c>
      <c r="T85" s="280">
        <v>8</v>
      </c>
      <c r="U85" s="280">
        <v>1</v>
      </c>
      <c r="V85" s="280">
        <v>2</v>
      </c>
      <c r="W85" s="280">
        <v>5.45</v>
      </c>
      <c r="X85" s="280">
        <v>9</v>
      </c>
      <c r="Y85" s="280">
        <v>1</v>
      </c>
      <c r="Z85" s="280">
        <v>3</v>
      </c>
      <c r="AA85" s="280">
        <v>3.22</v>
      </c>
      <c r="AB85" s="280">
        <v>9</v>
      </c>
      <c r="AC85" s="280">
        <v>1</v>
      </c>
      <c r="AD85" s="280">
        <v>3</v>
      </c>
      <c r="AE85" s="280">
        <v>1.0577000000000001</v>
      </c>
      <c r="AF85" s="280"/>
      <c r="AG85" s="280">
        <v>1</v>
      </c>
      <c r="AH85" s="280">
        <v>0.5</v>
      </c>
      <c r="AI85" s="281">
        <v>0.10070135957317804</v>
      </c>
      <c r="AJ85" s="280"/>
      <c r="AK85" s="280">
        <v>1</v>
      </c>
      <c r="AL85" s="280">
        <v>2</v>
      </c>
      <c r="AM85" s="280">
        <f>D85+F85+H85+J85+L85+N85+P85+R85+T85+V85+X85+Z85+AB85+AD85+AF85+AH85+AJ85+AL85</f>
        <v>63.6875</v>
      </c>
      <c r="AN85" s="279" t="s">
        <v>615</v>
      </c>
    </row>
    <row r="86" spans="1:40">
      <c r="A86" s="279" t="s">
        <v>661</v>
      </c>
      <c r="B86" s="283">
        <v>274963600</v>
      </c>
      <c r="C86" s="280">
        <v>4.0999999999999996</v>
      </c>
      <c r="D86" s="280">
        <v>11.25</v>
      </c>
      <c r="E86" s="280">
        <v>1</v>
      </c>
      <c r="F86" s="280">
        <v>3.75</v>
      </c>
      <c r="G86" s="280">
        <v>55.6</v>
      </c>
      <c r="H86" s="280">
        <v>11.25</v>
      </c>
      <c r="I86" s="280">
        <v>1</v>
      </c>
      <c r="J86" s="280">
        <v>3.75</v>
      </c>
      <c r="K86" s="271">
        <v>0.11054784465986645</v>
      </c>
      <c r="L86" s="285"/>
      <c r="M86" s="281">
        <v>3.7050000000000001</v>
      </c>
      <c r="N86" s="280"/>
      <c r="O86" s="280">
        <v>-6.94</v>
      </c>
      <c r="P86" s="280"/>
      <c r="Q86" s="280">
        <v>1</v>
      </c>
      <c r="R86" s="280">
        <v>0.75</v>
      </c>
      <c r="S86" s="280">
        <v>1.83</v>
      </c>
      <c r="T86" s="280">
        <v>4</v>
      </c>
      <c r="U86" s="280">
        <v>1</v>
      </c>
      <c r="V86" s="280">
        <v>2</v>
      </c>
      <c r="W86" s="280">
        <v>1.75</v>
      </c>
      <c r="X86" s="280">
        <v>9</v>
      </c>
      <c r="Y86" s="280">
        <v>1</v>
      </c>
      <c r="Z86" s="280">
        <v>3</v>
      </c>
      <c r="AA86" s="280">
        <v>1.46</v>
      </c>
      <c r="AB86" s="280">
        <v>9</v>
      </c>
      <c r="AC86" s="280">
        <v>1</v>
      </c>
      <c r="AD86" s="280">
        <v>3</v>
      </c>
      <c r="AE86" s="280">
        <v>1.0199</v>
      </c>
      <c r="AF86" s="280"/>
      <c r="AG86" s="280">
        <v>1</v>
      </c>
      <c r="AH86" s="280">
        <v>0.5</v>
      </c>
      <c r="AI86" s="281">
        <v>0.32192485212403654</v>
      </c>
      <c r="AJ86" s="280"/>
      <c r="AK86" s="280">
        <v>1</v>
      </c>
      <c r="AL86" s="280">
        <v>2</v>
      </c>
      <c r="AM86" s="280">
        <f>D86+F86+H86+J86+L86+N86+P86+R86+T86+V86+X86+Z86+AB86+AD86+AF86+AH86+AJ86+AL86</f>
        <v>63.25</v>
      </c>
      <c r="AN86" s="279" t="s">
        <v>661</v>
      </c>
    </row>
    <row r="87" spans="1:40">
      <c r="A87" s="279" t="s">
        <v>610</v>
      </c>
      <c r="B87" s="283">
        <v>269959600</v>
      </c>
      <c r="C87" s="280">
        <v>3.9</v>
      </c>
      <c r="D87" s="280">
        <v>11.25</v>
      </c>
      <c r="E87" s="280">
        <v>0</v>
      </c>
      <c r="F87" s="280">
        <v>0</v>
      </c>
      <c r="G87" s="280">
        <v>10.7</v>
      </c>
      <c r="H87" s="280">
        <v>8.4375</v>
      </c>
      <c r="I87" s="280">
        <v>0</v>
      </c>
      <c r="J87" s="280">
        <v>0</v>
      </c>
      <c r="K87" s="277">
        <v>-1.0506059756974384E-2</v>
      </c>
      <c r="L87" s="285"/>
      <c r="M87" s="281">
        <v>-1.7000000000000001E-2</v>
      </c>
      <c r="N87" s="280"/>
      <c r="O87" s="280">
        <v>716.09</v>
      </c>
      <c r="P87" s="280"/>
      <c r="Q87" s="280">
        <v>0</v>
      </c>
      <c r="R87" s="280">
        <v>0</v>
      </c>
      <c r="S87" s="285">
        <v>12.34</v>
      </c>
      <c r="T87" s="280">
        <v>8</v>
      </c>
      <c r="U87" s="280">
        <v>0</v>
      </c>
      <c r="V87" s="280">
        <v>0</v>
      </c>
      <c r="W87" s="280">
        <v>8.6300000000000008</v>
      </c>
      <c r="X87" s="280">
        <v>12</v>
      </c>
      <c r="Y87" s="280">
        <v>1</v>
      </c>
      <c r="Z87" s="280">
        <v>3</v>
      </c>
      <c r="AA87" s="280">
        <v>2.64</v>
      </c>
      <c r="AB87" s="280">
        <v>9</v>
      </c>
      <c r="AC87" s="280">
        <v>1</v>
      </c>
      <c r="AD87" s="280">
        <v>3</v>
      </c>
      <c r="AE87" s="280">
        <v>1.0945</v>
      </c>
      <c r="AF87" s="280"/>
      <c r="AG87" s="280">
        <v>1</v>
      </c>
      <c r="AH87" s="280">
        <v>0.5</v>
      </c>
      <c r="AI87" s="281">
        <v>0.17498665559094234</v>
      </c>
      <c r="AJ87" s="280"/>
      <c r="AK87" s="280">
        <v>1</v>
      </c>
      <c r="AL87" s="280">
        <v>2</v>
      </c>
      <c r="AM87" s="280">
        <f>D87+F87+H87+J87+L87+N87+P87+R87+T87+V87+X87+Z87+AB87+AD87+AF87+AH87+AJ87+AL87</f>
        <v>57.1875</v>
      </c>
      <c r="AN87" s="279" t="s">
        <v>610</v>
      </c>
    </row>
    <row r="88" spans="1:40">
      <c r="A88" s="279" t="s">
        <v>613</v>
      </c>
      <c r="B88" s="283">
        <v>265040700</v>
      </c>
      <c r="C88" s="280">
        <v>-48.9</v>
      </c>
      <c r="D88" s="280">
        <v>2.8125</v>
      </c>
      <c r="E88" s="280">
        <v>0</v>
      </c>
      <c r="F88" s="280">
        <v>0</v>
      </c>
      <c r="G88" s="288">
        <v>-190.5</v>
      </c>
      <c r="H88" s="280">
        <v>2.81</v>
      </c>
      <c r="I88" s="280">
        <v>0</v>
      </c>
      <c r="J88" s="280">
        <v>0</v>
      </c>
      <c r="K88" s="271">
        <v>-0.25968639960195772</v>
      </c>
      <c r="L88" s="285"/>
      <c r="M88" s="281">
        <v>0.91359999999999997</v>
      </c>
      <c r="N88" s="280"/>
      <c r="O88" s="280">
        <v>219.93</v>
      </c>
      <c r="P88" s="280"/>
      <c r="Q88" s="280">
        <v>0</v>
      </c>
      <c r="R88" s="280">
        <v>0</v>
      </c>
      <c r="S88" s="288">
        <v>-175.14</v>
      </c>
      <c r="T88" s="280">
        <v>2</v>
      </c>
      <c r="U88" s="280">
        <v>0</v>
      </c>
      <c r="V88" s="280">
        <v>0</v>
      </c>
      <c r="W88" s="280">
        <v>-19.14</v>
      </c>
      <c r="X88" s="280">
        <v>6</v>
      </c>
      <c r="Y88" s="280">
        <v>0</v>
      </c>
      <c r="Z88" s="280">
        <v>0</v>
      </c>
      <c r="AA88" s="280">
        <v>-15.54</v>
      </c>
      <c r="AB88" s="280">
        <v>6</v>
      </c>
      <c r="AC88" s="280">
        <v>0</v>
      </c>
      <c r="AD88" s="280">
        <v>0</v>
      </c>
      <c r="AE88" s="280">
        <v>0.33829999999999999</v>
      </c>
      <c r="AF88" s="280"/>
      <c r="AG88" s="280">
        <v>0</v>
      </c>
      <c r="AH88" s="280">
        <v>0</v>
      </c>
      <c r="AI88" s="284">
        <v>-1.3199507190734925</v>
      </c>
      <c r="AJ88" s="280"/>
      <c r="AK88" s="280">
        <v>0</v>
      </c>
      <c r="AL88" s="280">
        <v>0</v>
      </c>
      <c r="AM88" s="280">
        <f>D88+F88+H88+J88+L88+N88+P88+R88+T88+V88+X88+Z88+AB88+AD88+AF88+AH88+AJ88+AL88</f>
        <v>19.622500000000002</v>
      </c>
      <c r="AN88" s="279" t="s">
        <v>613</v>
      </c>
    </row>
    <row r="89" spans="1:40">
      <c r="B89" s="236"/>
      <c r="L89" s="285"/>
    </row>
    <row r="90" spans="1:40">
      <c r="A90" s="279" t="s">
        <v>608</v>
      </c>
      <c r="B90" s="283">
        <v>246094100</v>
      </c>
      <c r="C90" s="280">
        <v>14.4</v>
      </c>
      <c r="D90" s="280">
        <v>11.25</v>
      </c>
      <c r="E90" s="280">
        <v>1</v>
      </c>
      <c r="F90" s="280">
        <v>3.75</v>
      </c>
      <c r="G90" s="280">
        <v>82</v>
      </c>
      <c r="H90" s="280">
        <v>11.25</v>
      </c>
      <c r="I90" s="280">
        <v>1</v>
      </c>
      <c r="J90" s="280">
        <v>3.75</v>
      </c>
      <c r="K90" s="286">
        <v>-2.8500000000000001E-2</v>
      </c>
      <c r="L90" s="285"/>
      <c r="M90" s="281">
        <v>2.8386</v>
      </c>
      <c r="N90" s="280"/>
      <c r="O90" s="280">
        <v>-60.71</v>
      </c>
      <c r="P90" s="280"/>
      <c r="Q90" s="280">
        <v>1</v>
      </c>
      <c r="R90" s="280">
        <v>0.75</v>
      </c>
      <c r="S90" s="280">
        <v>22.74</v>
      </c>
      <c r="T90" s="280">
        <v>8</v>
      </c>
      <c r="U90" s="280">
        <v>1</v>
      </c>
      <c r="V90" s="280">
        <v>2</v>
      </c>
      <c r="W90" s="280">
        <v>20.05</v>
      </c>
      <c r="X90" s="280">
        <v>12</v>
      </c>
      <c r="Y90" s="280">
        <v>1</v>
      </c>
      <c r="Z90" s="280">
        <v>3</v>
      </c>
      <c r="AA90" s="280">
        <v>18.02</v>
      </c>
      <c r="AB90" s="280">
        <v>12</v>
      </c>
      <c r="AC90" s="280">
        <v>1</v>
      </c>
      <c r="AD90" s="280">
        <v>3</v>
      </c>
      <c r="AE90" s="280">
        <v>1.2507999999999999</v>
      </c>
      <c r="AF90" s="280"/>
      <c r="AG90" s="280">
        <v>1</v>
      </c>
      <c r="AH90" s="280">
        <v>0.5</v>
      </c>
      <c r="AI90" s="281">
        <v>0.43187422117806801</v>
      </c>
      <c r="AJ90" s="280"/>
      <c r="AK90" s="280">
        <v>1</v>
      </c>
      <c r="AL90" s="280">
        <v>2</v>
      </c>
      <c r="AM90" s="280">
        <f>D90+F90+H90+J90+L90+N90+P90+R90+T90+V90+X90+Z90+AB90+AD90+AF90+AH90+AJ90+AL90</f>
        <v>73.25</v>
      </c>
      <c r="AN90" s="279" t="s">
        <v>608</v>
      </c>
    </row>
    <row r="91" spans="1:40">
      <c r="A91" s="279" t="s">
        <v>614</v>
      </c>
      <c r="B91" s="283">
        <v>238960700</v>
      </c>
      <c r="C91" s="280">
        <v>4.7</v>
      </c>
      <c r="D91" s="280">
        <v>11.25</v>
      </c>
      <c r="E91" s="280">
        <v>1</v>
      </c>
      <c r="F91" s="280">
        <v>3.75</v>
      </c>
      <c r="G91" s="280">
        <v>16.399999999999999</v>
      </c>
      <c r="H91" s="280">
        <v>8.4375</v>
      </c>
      <c r="I91" s="280">
        <v>1</v>
      </c>
      <c r="J91" s="280">
        <v>3.75</v>
      </c>
      <c r="K91" s="271">
        <v>-0.18413876789716555</v>
      </c>
      <c r="L91" s="285"/>
      <c r="M91" s="281">
        <v>0.3705</v>
      </c>
      <c r="N91" s="280"/>
      <c r="O91" s="280">
        <v>183.17</v>
      </c>
      <c r="P91" s="280"/>
      <c r="Q91" s="280">
        <v>0</v>
      </c>
      <c r="R91" s="280">
        <v>0</v>
      </c>
      <c r="S91" s="280">
        <v>7.12</v>
      </c>
      <c r="T91" s="280">
        <v>6</v>
      </c>
      <c r="U91" s="280">
        <v>1</v>
      </c>
      <c r="V91" s="280">
        <v>2</v>
      </c>
      <c r="W91" s="280">
        <v>10.02</v>
      </c>
      <c r="X91" s="280">
        <v>12</v>
      </c>
      <c r="Y91" s="280">
        <v>1</v>
      </c>
      <c r="Z91" s="280">
        <v>3</v>
      </c>
      <c r="AA91" s="280">
        <v>3.98</v>
      </c>
      <c r="AB91" s="280">
        <v>12</v>
      </c>
      <c r="AC91" s="280">
        <v>1</v>
      </c>
      <c r="AD91" s="280">
        <v>3</v>
      </c>
      <c r="AE91" s="287">
        <v>1.1113</v>
      </c>
      <c r="AF91" s="280"/>
      <c r="AG91" s="280">
        <v>1</v>
      </c>
      <c r="AH91" s="280">
        <v>0.5</v>
      </c>
      <c r="AI91" s="281">
        <v>0.16234294316414988</v>
      </c>
      <c r="AJ91" s="280"/>
      <c r="AK91" s="280">
        <v>1</v>
      </c>
      <c r="AL91" s="280">
        <v>2</v>
      </c>
      <c r="AM91" s="280">
        <f>D91+F91+H91+J91+L91+N91+P91+R91+T91+V91+X91+Z91+AB91+AD91+AF91+AH91+AJ91+AL91</f>
        <v>67.6875</v>
      </c>
      <c r="AN91" s="279" t="s">
        <v>614</v>
      </c>
    </row>
    <row r="92" spans="1:40">
      <c r="A92" s="279" t="s">
        <v>609</v>
      </c>
      <c r="B92" s="283">
        <v>224938400</v>
      </c>
      <c r="C92" s="280">
        <v>4.3</v>
      </c>
      <c r="D92" s="280">
        <v>11.25</v>
      </c>
      <c r="E92" s="280">
        <v>0</v>
      </c>
      <c r="F92" s="280">
        <v>0</v>
      </c>
      <c r="G92" s="280">
        <v>5.2</v>
      </c>
      <c r="H92" s="280">
        <v>5.625</v>
      </c>
      <c r="I92" s="280">
        <v>0</v>
      </c>
      <c r="J92" s="280">
        <v>0</v>
      </c>
      <c r="K92" s="286">
        <v>-8.3400000000000002E-2</v>
      </c>
      <c r="L92" s="285"/>
      <c r="M92" s="281">
        <v>-0.3634</v>
      </c>
      <c r="N92" s="280"/>
      <c r="O92" s="280">
        <v>144.54</v>
      </c>
      <c r="P92" s="280"/>
      <c r="Q92" s="280">
        <v>0</v>
      </c>
      <c r="R92" s="280">
        <v>0</v>
      </c>
      <c r="S92" s="280">
        <v>22.04</v>
      </c>
      <c r="T92" s="280">
        <v>8</v>
      </c>
      <c r="U92" s="280">
        <v>1</v>
      </c>
      <c r="V92" s="280">
        <v>2</v>
      </c>
      <c r="W92" s="280">
        <v>-6.12</v>
      </c>
      <c r="X92" s="280">
        <v>6</v>
      </c>
      <c r="Y92" s="280">
        <v>0</v>
      </c>
      <c r="Z92" s="280">
        <v>0</v>
      </c>
      <c r="AA92" s="280">
        <v>3.59</v>
      </c>
      <c r="AB92" s="280">
        <v>9</v>
      </c>
      <c r="AC92" s="280">
        <v>0</v>
      </c>
      <c r="AD92" s="280">
        <v>0</v>
      </c>
      <c r="AE92" s="280">
        <v>0.94240000000000002</v>
      </c>
      <c r="AF92" s="280"/>
      <c r="AG92" s="280">
        <v>0</v>
      </c>
      <c r="AH92" s="280">
        <v>0</v>
      </c>
      <c r="AI92" s="281">
        <v>0.12958612757908197</v>
      </c>
      <c r="AJ92" s="280"/>
      <c r="AK92" s="280">
        <v>1</v>
      </c>
      <c r="AL92" s="280">
        <v>2</v>
      </c>
      <c r="AM92" s="280">
        <f>D92+F92+H92+J92+L92+N92+P92+R92+T92+V92+X92+Z92+AB92+AD92+AF92+AH92+AJ92+AL92</f>
        <v>43.875</v>
      </c>
      <c r="AN92" s="279" t="s">
        <v>609</v>
      </c>
    </row>
    <row r="93" spans="1:40">
      <c r="A93" s="279" t="s">
        <v>612</v>
      </c>
      <c r="B93" s="283">
        <v>218301300</v>
      </c>
      <c r="C93" s="280">
        <v>-5.7</v>
      </c>
      <c r="D93" s="280">
        <v>5.625</v>
      </c>
      <c r="E93" s="280">
        <v>0</v>
      </c>
      <c r="F93" s="280">
        <v>0</v>
      </c>
      <c r="G93" s="280">
        <v>-25.5</v>
      </c>
      <c r="H93" s="280">
        <v>2.81</v>
      </c>
      <c r="I93" s="280">
        <v>0</v>
      </c>
      <c r="J93" s="280">
        <v>0</v>
      </c>
      <c r="K93" s="271">
        <v>-0.2555221785601498</v>
      </c>
      <c r="L93" s="285"/>
      <c r="M93" s="281">
        <v>-2.1854</v>
      </c>
      <c r="N93" s="280"/>
      <c r="O93" s="280">
        <v>0.89</v>
      </c>
      <c r="P93" s="280"/>
      <c r="Q93" s="280">
        <v>0</v>
      </c>
      <c r="R93" s="280">
        <v>0</v>
      </c>
      <c r="S93" s="280">
        <v>-2.76</v>
      </c>
      <c r="T93" s="280">
        <v>4</v>
      </c>
      <c r="U93" s="280">
        <v>0</v>
      </c>
      <c r="V93" s="280">
        <v>0</v>
      </c>
      <c r="W93" s="280">
        <v>-9.67</v>
      </c>
      <c r="X93" s="280">
        <v>6</v>
      </c>
      <c r="Y93" s="280">
        <v>0</v>
      </c>
      <c r="Z93" s="280">
        <v>0</v>
      </c>
      <c r="AA93" s="280">
        <v>-10.53</v>
      </c>
      <c r="AB93" s="280">
        <v>6</v>
      </c>
      <c r="AC93" s="280">
        <v>0</v>
      </c>
      <c r="AD93" s="280">
        <v>0</v>
      </c>
      <c r="AE93" s="280">
        <v>0.91180000000000005</v>
      </c>
      <c r="AF93" s="280"/>
      <c r="AG93" s="280">
        <v>0</v>
      </c>
      <c r="AH93" s="280">
        <v>0</v>
      </c>
      <c r="AI93" s="284">
        <v>-0.13858444398124195</v>
      </c>
      <c r="AJ93" s="280"/>
      <c r="AK93" s="280">
        <v>0</v>
      </c>
      <c r="AL93" s="280">
        <v>0</v>
      </c>
      <c r="AM93" s="280">
        <f>D93+F93+H93+J93+L93+N93+P93+R93+T93+V93+X93+Z93+AB93+AD93+AF93+AH93+AJ93+AL93</f>
        <v>24.435000000000002</v>
      </c>
      <c r="AN93" s="279" t="s">
        <v>612</v>
      </c>
    </row>
    <row r="94" spans="1:40">
      <c r="A94" s="279" t="s">
        <v>670</v>
      </c>
      <c r="B94" s="283">
        <v>198385500</v>
      </c>
      <c r="C94" s="280">
        <v>37.6</v>
      </c>
      <c r="D94" s="280">
        <v>11.25</v>
      </c>
      <c r="E94" s="280">
        <v>1</v>
      </c>
      <c r="F94" s="280">
        <v>3.75</v>
      </c>
      <c r="G94" s="280">
        <v>121.9</v>
      </c>
      <c r="H94" s="280">
        <v>11.25</v>
      </c>
      <c r="I94" s="280">
        <v>1</v>
      </c>
      <c r="J94" s="280">
        <v>3.75</v>
      </c>
      <c r="K94" s="282">
        <v>-0.13700000000000001</v>
      </c>
      <c r="L94" s="280"/>
      <c r="M94" s="281">
        <v>1.3956999999999999</v>
      </c>
      <c r="N94" s="280"/>
      <c r="O94" s="280">
        <v>49.79</v>
      </c>
      <c r="P94" s="280"/>
      <c r="Q94" s="280">
        <v>1</v>
      </c>
      <c r="R94" s="280">
        <v>0.75</v>
      </c>
      <c r="S94" s="280">
        <v>26.27</v>
      </c>
      <c r="T94" s="280">
        <v>8</v>
      </c>
      <c r="U94" s="280">
        <v>1</v>
      </c>
      <c r="V94" s="280">
        <v>2</v>
      </c>
      <c r="W94" s="280">
        <v>22.19</v>
      </c>
      <c r="X94" s="280">
        <v>12</v>
      </c>
      <c r="Y94" s="280">
        <v>1</v>
      </c>
      <c r="Z94" s="280">
        <v>3</v>
      </c>
      <c r="AA94" s="280">
        <v>26.27</v>
      </c>
      <c r="AB94" s="280">
        <v>12</v>
      </c>
      <c r="AC94" s="280">
        <v>1</v>
      </c>
      <c r="AD94" s="280">
        <v>3</v>
      </c>
      <c r="AE94" s="280">
        <v>1.2866</v>
      </c>
      <c r="AF94" s="280"/>
      <c r="AG94" s="280">
        <v>0</v>
      </c>
      <c r="AH94" s="280">
        <v>0</v>
      </c>
      <c r="AI94" s="281">
        <v>0.81034774680906485</v>
      </c>
      <c r="AJ94" s="280"/>
      <c r="AK94" s="280">
        <v>1</v>
      </c>
      <c r="AL94" s="280">
        <v>2</v>
      </c>
      <c r="AM94" s="280">
        <f>D94+F94+H94+J94+L94+N94+P94+R94+T94+V94+X94+Z94+AB94+AD94+AF94+AH94+AJ94+AL94</f>
        <v>72.75</v>
      </c>
      <c r="AN94" s="279" t="s">
        <v>670</v>
      </c>
    </row>
    <row r="99" spans="1:40">
      <c r="A99" s="237"/>
      <c r="B99" s="278"/>
      <c r="C99" s="250"/>
      <c r="D99" s="250"/>
      <c r="E99" s="250"/>
      <c r="F99" s="250"/>
      <c r="G99" s="250"/>
      <c r="H99" s="250"/>
      <c r="I99" s="250"/>
      <c r="J99" s="250"/>
      <c r="K99" s="277"/>
      <c r="L99" s="251"/>
      <c r="M99" s="276"/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76"/>
      <c r="AJ99" s="250"/>
      <c r="AK99" s="250"/>
      <c r="AL99" s="250"/>
      <c r="AM99" s="250"/>
      <c r="AN99" s="237"/>
    </row>
  </sheetData>
  <mergeCells count="2">
    <mergeCell ref="A1:AJ2"/>
    <mergeCell ref="B77:J77"/>
  </mergeCells>
  <pageMargins left="0.75" right="0.75" top="1" bottom="1" header="0.5" footer="0.5"/>
  <pageSetup paperSize="9" orientation="portrait" horizontalDpi="4294967292" verticalDpi="4294967292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H33"/>
  <sheetViews>
    <sheetView zoomScale="90" zoomScaleNormal="90" workbookViewId="0">
      <selection activeCell="F4" sqref="F4"/>
    </sheetView>
  </sheetViews>
  <sheetFormatPr defaultColWidth="12.5703125" defaultRowHeight="15.75"/>
  <cols>
    <col min="1" max="1" width="7.85546875" style="236" customWidth="1"/>
    <col min="2" max="2" width="76" style="236" customWidth="1"/>
    <col min="3" max="3" width="13" style="236" customWidth="1"/>
    <col min="4" max="4" width="9.7109375" style="236" customWidth="1"/>
    <col min="5" max="5" width="72.7109375" style="236" customWidth="1"/>
    <col min="6" max="16384" width="12.5703125" style="236"/>
  </cols>
  <sheetData>
    <row r="2" spans="1:8" ht="21">
      <c r="B2" s="301"/>
      <c r="E2" s="301"/>
    </row>
    <row r="3" spans="1:8" ht="21">
      <c r="B3" s="300"/>
    </row>
    <row r="4" spans="1:8" ht="63">
      <c r="A4" s="394"/>
      <c r="B4" s="303" t="s">
        <v>97</v>
      </c>
      <c r="C4" s="298" t="s">
        <v>924</v>
      </c>
      <c r="D4" s="39"/>
      <c r="E4" s="303" t="s">
        <v>97</v>
      </c>
      <c r="F4" s="548" t="s">
        <v>925</v>
      </c>
      <c r="G4" s="492" t="s">
        <v>693</v>
      </c>
      <c r="H4" s="492" t="s">
        <v>917</v>
      </c>
    </row>
    <row r="5" spans="1:8">
      <c r="A5" s="394">
        <v>1</v>
      </c>
      <c r="B5" s="303" t="s">
        <v>660</v>
      </c>
      <c r="C5" s="453">
        <v>95.875</v>
      </c>
      <c r="D5" s="39" t="s">
        <v>77</v>
      </c>
      <c r="E5" s="303" t="s">
        <v>662</v>
      </c>
      <c r="F5" s="348">
        <v>100</v>
      </c>
      <c r="G5" s="493" t="s">
        <v>183</v>
      </c>
      <c r="H5" s="493" t="s">
        <v>183</v>
      </c>
    </row>
    <row r="6" spans="1:8">
      <c r="A6" s="394">
        <v>2</v>
      </c>
      <c r="B6" s="303" t="s">
        <v>663</v>
      </c>
      <c r="C6" s="453">
        <v>85.25</v>
      </c>
      <c r="D6" s="39" t="s">
        <v>75</v>
      </c>
      <c r="E6" s="303" t="s">
        <v>661</v>
      </c>
      <c r="F6" s="348">
        <v>91.625</v>
      </c>
      <c r="G6" s="493" t="s">
        <v>183</v>
      </c>
      <c r="H6" s="493" t="s">
        <v>183</v>
      </c>
    </row>
    <row r="7" spans="1:8">
      <c r="A7" s="394">
        <v>3</v>
      </c>
      <c r="B7" s="303" t="s">
        <v>667</v>
      </c>
      <c r="C7" s="453">
        <v>76.375</v>
      </c>
      <c r="D7" s="39" t="s">
        <v>69</v>
      </c>
      <c r="E7" s="303" t="s">
        <v>660</v>
      </c>
      <c r="F7" s="348">
        <v>86.625</v>
      </c>
      <c r="G7" s="494">
        <v>-2</v>
      </c>
      <c r="H7" s="495">
        <v>-9.25</v>
      </c>
    </row>
    <row r="8" spans="1:8">
      <c r="A8" s="394">
        <v>4</v>
      </c>
      <c r="B8" s="303" t="s">
        <v>664</v>
      </c>
      <c r="C8" s="453">
        <v>73.5</v>
      </c>
      <c r="D8" s="39" t="s">
        <v>63</v>
      </c>
      <c r="E8" s="303" t="s">
        <v>664</v>
      </c>
      <c r="F8" s="348">
        <v>85.375</v>
      </c>
      <c r="G8" s="493">
        <v>0</v>
      </c>
      <c r="H8" s="495">
        <v>11.88</v>
      </c>
    </row>
    <row r="9" spans="1:8">
      <c r="A9" s="394">
        <v>5</v>
      </c>
      <c r="B9" s="303" t="s">
        <v>666</v>
      </c>
      <c r="C9" s="453">
        <v>59.625</v>
      </c>
      <c r="D9" s="39" t="s">
        <v>65</v>
      </c>
      <c r="E9" s="303" t="s">
        <v>663</v>
      </c>
      <c r="F9" s="348">
        <v>65.75</v>
      </c>
      <c r="G9" s="494">
        <v>-3</v>
      </c>
      <c r="H9" s="495">
        <v>-19.5</v>
      </c>
    </row>
    <row r="10" spans="1:8">
      <c r="A10" s="394">
        <v>6</v>
      </c>
      <c r="B10" s="303" t="s">
        <v>616</v>
      </c>
      <c r="C10" s="453">
        <v>46.625</v>
      </c>
      <c r="D10" s="39" t="s">
        <v>73</v>
      </c>
      <c r="E10" s="303" t="s">
        <v>667</v>
      </c>
      <c r="F10" s="348">
        <v>65</v>
      </c>
      <c r="G10" s="494">
        <v>-3</v>
      </c>
      <c r="H10" s="495">
        <v>-11.38</v>
      </c>
    </row>
    <row r="11" spans="1:8">
      <c r="A11" s="394">
        <v>7</v>
      </c>
      <c r="B11" s="303" t="s">
        <v>658</v>
      </c>
      <c r="C11" s="453">
        <v>44.125</v>
      </c>
      <c r="D11" s="39" t="s">
        <v>71</v>
      </c>
      <c r="E11" s="303" t="s">
        <v>666</v>
      </c>
      <c r="F11" s="348">
        <v>59.625</v>
      </c>
      <c r="G11" s="494">
        <v>-2</v>
      </c>
      <c r="H11" s="495">
        <v>0</v>
      </c>
    </row>
    <row r="12" spans="1:8">
      <c r="A12" s="394">
        <v>8</v>
      </c>
      <c r="B12" s="303" t="s">
        <v>611</v>
      </c>
      <c r="C12" s="453">
        <v>43.25</v>
      </c>
      <c r="D12" s="39" t="s">
        <v>67</v>
      </c>
      <c r="E12" s="303" t="s">
        <v>665</v>
      </c>
      <c r="F12" s="348">
        <v>53</v>
      </c>
      <c r="G12" s="496">
        <v>2</v>
      </c>
      <c r="H12" s="495">
        <v>24.37</v>
      </c>
    </row>
    <row r="13" spans="1:8">
      <c r="A13" s="394">
        <v>9</v>
      </c>
      <c r="B13" s="303" t="s">
        <v>659</v>
      </c>
      <c r="C13" s="453">
        <v>40</v>
      </c>
      <c r="D13" s="39" t="s">
        <v>79</v>
      </c>
      <c r="E13" s="303" t="s">
        <v>659</v>
      </c>
      <c r="F13" s="348">
        <v>31.125</v>
      </c>
      <c r="G13" s="493">
        <v>0</v>
      </c>
      <c r="H13" s="495">
        <v>-8.8699999999999992</v>
      </c>
    </row>
    <row r="14" spans="1:8">
      <c r="A14" s="394">
        <v>10</v>
      </c>
      <c r="B14" s="303" t="s">
        <v>665</v>
      </c>
      <c r="C14" s="453">
        <v>28.625</v>
      </c>
      <c r="D14" s="39" t="s">
        <v>61</v>
      </c>
      <c r="E14" s="303" t="s">
        <v>658</v>
      </c>
      <c r="F14" s="348">
        <v>25.5</v>
      </c>
      <c r="G14" s="494">
        <v>-3</v>
      </c>
      <c r="H14" s="495">
        <v>-18.63</v>
      </c>
    </row>
    <row r="21" spans="3:5">
      <c r="C21"/>
      <c r="D21"/>
      <c r="E21"/>
    </row>
    <row r="22" spans="3:5">
      <c r="C22"/>
      <c r="D22"/>
      <c r="E22"/>
    </row>
    <row r="23" spans="3:5">
      <c r="C23"/>
      <c r="D23"/>
      <c r="E23"/>
    </row>
    <row r="24" spans="3:5">
      <c r="C24"/>
      <c r="D24"/>
      <c r="E24"/>
    </row>
    <row r="25" spans="3:5">
      <c r="C25"/>
      <c r="D25"/>
      <c r="E25"/>
    </row>
    <row r="26" spans="3:5">
      <c r="C26"/>
      <c r="D26"/>
      <c r="E26"/>
    </row>
    <row r="27" spans="3:5">
      <c r="C27"/>
      <c r="D27"/>
      <c r="E27"/>
    </row>
    <row r="28" spans="3:5">
      <c r="C28"/>
      <c r="D28"/>
      <c r="E28"/>
    </row>
    <row r="29" spans="3:5">
      <c r="C29"/>
      <c r="D29"/>
      <c r="E29"/>
    </row>
    <row r="30" spans="3:5">
      <c r="C30"/>
      <c r="D30"/>
      <c r="E30"/>
    </row>
    <row r="31" spans="3:5">
      <c r="C31"/>
      <c r="D31"/>
      <c r="E31"/>
    </row>
    <row r="32" spans="3:5">
      <c r="C32"/>
      <c r="D32"/>
      <c r="E32"/>
    </row>
    <row r="33" spans="3:5">
      <c r="C33"/>
      <c r="D33"/>
      <c r="E33"/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M93"/>
  <sheetViews>
    <sheetView zoomScale="90" zoomScaleNormal="90" zoomScalePageLayoutView="90" workbookViewId="0">
      <selection activeCell="A4" sqref="A4:A13"/>
    </sheetView>
  </sheetViews>
  <sheetFormatPr defaultColWidth="12.5703125" defaultRowHeight="15.75"/>
  <cols>
    <col min="1" max="1" width="40.7109375" style="236" bestFit="1" customWidth="1"/>
    <col min="2" max="5" width="12.5703125" style="236"/>
    <col min="6" max="6" width="16.140625" style="236" bestFit="1" customWidth="1"/>
    <col min="7" max="9" width="12.5703125" style="236"/>
    <col min="10" max="10" width="16.140625" style="236" bestFit="1" customWidth="1"/>
    <col min="11" max="11" width="12.5703125" style="236"/>
    <col min="12" max="12" width="18.42578125" style="236" bestFit="1" customWidth="1"/>
    <col min="13" max="13" width="12.5703125" style="236"/>
    <col min="14" max="14" width="10.140625" style="236" bestFit="1" customWidth="1"/>
    <col min="15" max="17" width="12.5703125" style="236"/>
    <col min="18" max="18" width="22.28515625" style="236" bestFit="1" customWidth="1"/>
    <col min="19" max="21" width="12.5703125" style="236"/>
    <col min="22" max="22" width="20.7109375" style="236" bestFit="1" customWidth="1"/>
    <col min="23" max="25" width="12.5703125" style="236"/>
    <col min="26" max="26" width="21.85546875" style="236" customWidth="1"/>
    <col min="27" max="29" width="12.5703125" style="236"/>
    <col min="30" max="30" width="12" style="236" bestFit="1" customWidth="1"/>
    <col min="31" max="38" width="12.5703125" style="236"/>
    <col min="39" max="39" width="47.28515625" style="236" bestFit="1" customWidth="1"/>
    <col min="40" max="16384" width="12.5703125" style="236"/>
  </cols>
  <sheetData>
    <row r="1" spans="1:39">
      <c r="A1" s="532" t="s">
        <v>736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2"/>
      <c r="U1" s="532"/>
      <c r="V1" s="532"/>
      <c r="W1" s="532"/>
      <c r="X1" s="532"/>
      <c r="Y1" s="532"/>
      <c r="Z1" s="532"/>
      <c r="AA1" s="532"/>
      <c r="AB1" s="532"/>
      <c r="AC1" s="532"/>
      <c r="AD1" s="532"/>
      <c r="AE1" s="532"/>
      <c r="AF1" s="532"/>
      <c r="AG1" s="532"/>
      <c r="AH1" s="532"/>
      <c r="AI1" s="532"/>
      <c r="AJ1" s="532"/>
      <c r="AK1" s="237"/>
      <c r="AL1" s="237"/>
      <c r="AM1" s="251"/>
    </row>
    <row r="2" spans="1:39">
      <c r="A2" s="532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237"/>
      <c r="AL2" s="237"/>
      <c r="AM2" s="251"/>
    </row>
    <row r="3" spans="1:39" ht="47.25">
      <c r="A3" s="237" t="s">
        <v>97</v>
      </c>
      <c r="B3" s="237" t="s">
        <v>96</v>
      </c>
      <c r="C3" s="274" t="s">
        <v>93</v>
      </c>
      <c r="D3" s="274" t="s">
        <v>95</v>
      </c>
      <c r="E3" s="274" t="s">
        <v>93</v>
      </c>
      <c r="F3" s="237" t="s">
        <v>94</v>
      </c>
      <c r="G3" s="274" t="s">
        <v>83</v>
      </c>
      <c r="H3" s="274" t="s">
        <v>84</v>
      </c>
      <c r="I3" s="274" t="s">
        <v>93</v>
      </c>
      <c r="J3" s="237" t="s">
        <v>92</v>
      </c>
      <c r="K3" s="274" t="s">
        <v>83</v>
      </c>
      <c r="L3" s="275" t="s">
        <v>91</v>
      </c>
      <c r="M3" s="274" t="s">
        <v>83</v>
      </c>
      <c r="N3" s="274" t="s">
        <v>90</v>
      </c>
      <c r="O3" s="274" t="s">
        <v>83</v>
      </c>
      <c r="P3" s="274" t="s">
        <v>84</v>
      </c>
      <c r="Q3" s="274" t="s">
        <v>83</v>
      </c>
      <c r="R3" s="274" t="s">
        <v>89</v>
      </c>
      <c r="S3" s="274" t="s">
        <v>83</v>
      </c>
      <c r="T3" s="274" t="s">
        <v>84</v>
      </c>
      <c r="U3" s="274" t="s">
        <v>83</v>
      </c>
      <c r="V3" s="274" t="s">
        <v>88</v>
      </c>
      <c r="W3" s="274" t="s">
        <v>83</v>
      </c>
      <c r="X3" s="274" t="s">
        <v>84</v>
      </c>
      <c r="Y3" s="274" t="s">
        <v>83</v>
      </c>
      <c r="Z3" s="274" t="s">
        <v>87</v>
      </c>
      <c r="AA3" s="274" t="s">
        <v>83</v>
      </c>
      <c r="AB3" s="274" t="s">
        <v>84</v>
      </c>
      <c r="AC3" s="274" t="s">
        <v>83</v>
      </c>
      <c r="AD3" s="274" t="s">
        <v>86</v>
      </c>
      <c r="AE3" s="274" t="s">
        <v>83</v>
      </c>
      <c r="AF3" s="274" t="s">
        <v>84</v>
      </c>
      <c r="AG3" s="274" t="s">
        <v>83</v>
      </c>
      <c r="AH3" s="274" t="s">
        <v>85</v>
      </c>
      <c r="AI3" s="274" t="s">
        <v>83</v>
      </c>
      <c r="AJ3" s="274" t="s">
        <v>84</v>
      </c>
      <c r="AK3" s="274" t="s">
        <v>93</v>
      </c>
      <c r="AL3" s="296" t="s">
        <v>668</v>
      </c>
      <c r="AM3" s="274" t="s">
        <v>97</v>
      </c>
    </row>
    <row r="4" spans="1:39">
      <c r="A4" s="237" t="s">
        <v>735</v>
      </c>
      <c r="B4" s="237">
        <v>-40.9</v>
      </c>
      <c r="C4" s="237">
        <f t="shared" ref="C4:C13" si="0">IF(B4&gt;6.2,$B$20,IF(B4&lt;=-4.8,$B$17,IF(AND(B4&gt;-4.8,B4&lt;=1.1),$B$18,$B$19)))</f>
        <v>3.375</v>
      </c>
      <c r="D4" s="237">
        <v>0</v>
      </c>
      <c r="E4" s="237" t="str">
        <f t="shared" ref="E4:E13" si="1">IF(D4=0,"0",$H$17)</f>
        <v>0</v>
      </c>
      <c r="F4" s="237">
        <v>179.7</v>
      </c>
      <c r="G4" s="237">
        <f t="shared" ref="G4:G13" si="2">IF(F4&gt;34.3,$B$26,IF(F4&lt;=0,$B$23,IF(AND(F4&gt;0,F4&lt;=6),$B$24,$B$25)))</f>
        <v>13.5</v>
      </c>
      <c r="H4" s="237">
        <v>1</v>
      </c>
      <c r="I4" s="237">
        <f t="shared" ref="I4:I13" si="3">IF(H4=0,"0",$H$24)</f>
        <v>1.5</v>
      </c>
      <c r="J4" s="242">
        <v>1.5571653708247757E-2</v>
      </c>
      <c r="K4" s="251">
        <f>IF(J4&gt;QUARTILE($J$4:$J$13,3),$B$33,IF(AND(J4&lt;=QUARTILE($J$4:$J$13,3),J4&gt;QUARTILE($J$4:$J$13,2)),$B$32,IF(AND(J4&lt;=QUARTILE($J$4:$J$13,2),J4&gt;QUARTILE($J$4:$J$13,1)),$B$31,$B$30)))</f>
        <v>1.25</v>
      </c>
      <c r="L4" s="242">
        <v>-2.2069999999999999</v>
      </c>
      <c r="M4" s="251">
        <f>IF(L4&gt;QUARTILE($L$4:$L$13,3),$B$39,IF(AND(L4&lt;=QUARTILE($L$4:$L$13,3),L4&gt;QUARTILE($L$4:$L$13,2)),$B$38,IF(AND(L4&lt;=QUARTILE($L$4:$L$14,2),L4&gt;QUARTILE($L$4:$L$13,1)),$B$37,$B$36)))</f>
        <v>1.25</v>
      </c>
      <c r="N4" s="237">
        <v>8.32</v>
      </c>
      <c r="O4" s="251">
        <f>IF(N4&gt;QUARTILE($N$4:$N$13,3),$B$45,IF(AND(N4&lt;=QUARTILE($N$4:$N$13,3),N4&gt;QUARTILE($N$4:$N$13,2)),$B$44,IF(AND(N4&lt;=QUARTILE($N$4:$N$13,2),N4&gt;QUARTILE($N$4:$N$13,1)),$B$43,$B$42)))</f>
        <v>4.5</v>
      </c>
      <c r="P4" s="237">
        <v>1</v>
      </c>
      <c r="Q4" s="237">
        <f t="shared" ref="Q4:Q13" si="4">IF(P4=0,"0",$H$42)</f>
        <v>0.5</v>
      </c>
      <c r="R4" s="237">
        <v>-44.05</v>
      </c>
      <c r="S4" s="237">
        <f t="shared" ref="S4:S13" si="5">IF(R4&gt;14.22,$B$51,IF(R4&lt;=-3.38,$B$48,IF(AND(R4&gt;-3.38,R4&lt;=5.46),$B$49,$B$50)))</f>
        <v>2.25</v>
      </c>
      <c r="T4" s="237">
        <v>0</v>
      </c>
      <c r="U4" s="237" t="str">
        <f t="shared" ref="U4:U13" si="6">IF(T4=0,"0",$H$48)</f>
        <v>0</v>
      </c>
      <c r="V4" s="237">
        <v>-34.520000000000003</v>
      </c>
      <c r="W4" s="237">
        <f t="shared" ref="W4:W13" si="7">IF(V4&gt;7.92,$B$57,IF(V4&lt;=-8.43,$B$54,IF(AND(V4&gt;-8.43,V4&lt;=2.12),$B$55,$B$56)))</f>
        <v>3.375</v>
      </c>
      <c r="X4" s="237">
        <v>0</v>
      </c>
      <c r="Y4" s="237" t="str">
        <f t="shared" ref="Y4:Y13" si="8">IF(X4=0,"0",$H$54)</f>
        <v>0</v>
      </c>
      <c r="Z4" s="237">
        <v>-58.22</v>
      </c>
      <c r="AA4" s="237">
        <f t="shared" ref="AA4:AA13" si="9">IF(Z4&gt;4.91,$B$63,IF(Z4&lt;=-10.59,$B$60,IF(AND(Z4&gt;-10.59,Z4&lt;=0.77),$B$61,$B$62)))</f>
        <v>3.375</v>
      </c>
      <c r="AB4" s="237">
        <v>0</v>
      </c>
      <c r="AC4" s="237" t="str">
        <f t="shared" ref="AC4:AC13" si="10">IF(AB4=0,"0",$H$60)</f>
        <v>0</v>
      </c>
      <c r="AD4" s="237">
        <v>0.74339999999999995</v>
      </c>
      <c r="AE4" s="251">
        <f>IF(AD4&gt;QUARTILE($AD$4:$AD$13,3),$B$69,IF(AND(AD4&lt;=QUARTILE($AD$4:$AD$13,3),AD4&gt;QUARTILE($AD$4:$AD$13,2)),$B$68,IF(AND(AD4&lt;=QUARTILE($AD$4:$AD$13,2),AD4&gt;QUARTILE($AD$4:$AD$13,1)),$B$67,$B$66)))</f>
        <v>1.125</v>
      </c>
      <c r="AF4" s="237">
        <v>0</v>
      </c>
      <c r="AG4" s="237" t="str">
        <f t="shared" ref="AG4:AG13" si="11">IF(AF4=0,"0",$H$66)</f>
        <v>0</v>
      </c>
      <c r="AH4" s="242">
        <v>-0.81576831184657816</v>
      </c>
      <c r="AI4" s="251">
        <f>IF(AH4&gt;QUARTILE($AH$4:$AH$13,3),$B$75,IF(AND(AH4&lt;=QUARTILE($AH$4:$AH$13,3),AH4&gt;QUARTILE($AH$4:$AH$13,2)),$B$74,IF(AND(AH4&lt;=QUARTILE(AH4:$AH$13,2),AH4&gt;QUARTILE($AH$4:$AH$13,1)),$B$73,$B$72)))</f>
        <v>2.25</v>
      </c>
      <c r="AJ4" s="237">
        <v>1</v>
      </c>
      <c r="AK4" s="237">
        <f t="shared" ref="AK4:AK13" si="12">IF(AJ4=0,"0",$H$72)</f>
        <v>1</v>
      </c>
      <c r="AL4" s="279">
        <f t="shared" ref="AL4:AL13" si="13">C4+E4+G4+I4+K4+M4+O4+Q4+S4+U4+W4+Y4+AA4+AC4+AE4+AG4+AI4+AK4</f>
        <v>39.25</v>
      </c>
      <c r="AM4" s="237" t="s">
        <v>735</v>
      </c>
    </row>
    <row r="5" spans="1:39">
      <c r="A5" s="237" t="s">
        <v>703</v>
      </c>
      <c r="B5" s="237">
        <v>2.1</v>
      </c>
      <c r="C5" s="237">
        <f t="shared" si="0"/>
        <v>10.125</v>
      </c>
      <c r="D5" s="237">
        <v>0</v>
      </c>
      <c r="E5" s="237" t="str">
        <f t="shared" si="1"/>
        <v>0</v>
      </c>
      <c r="F5" s="237">
        <v>4.2</v>
      </c>
      <c r="G5" s="237">
        <f t="shared" si="2"/>
        <v>6.75</v>
      </c>
      <c r="H5" s="237">
        <v>0</v>
      </c>
      <c r="I5" s="237" t="str">
        <f t="shared" si="3"/>
        <v>0</v>
      </c>
      <c r="J5" s="242">
        <v>0.18261627230882493</v>
      </c>
      <c r="K5" s="237">
        <v>5</v>
      </c>
      <c r="L5" s="242">
        <v>-0.88600000000000001</v>
      </c>
      <c r="M5" s="237">
        <v>1.25</v>
      </c>
      <c r="N5" s="237">
        <v>-19.149999999999999</v>
      </c>
      <c r="O5" s="237">
        <v>4.25</v>
      </c>
      <c r="P5" s="237">
        <v>0</v>
      </c>
      <c r="Q5" s="237" t="str">
        <f t="shared" si="4"/>
        <v>0</v>
      </c>
      <c r="R5" s="237">
        <v>3.19</v>
      </c>
      <c r="S5" s="237">
        <f t="shared" si="5"/>
        <v>4.5</v>
      </c>
      <c r="T5" s="237">
        <v>0</v>
      </c>
      <c r="U5" s="237" t="str">
        <f t="shared" si="6"/>
        <v>0</v>
      </c>
      <c r="V5" s="237">
        <v>-1.71</v>
      </c>
      <c r="W5" s="237">
        <f t="shared" si="7"/>
        <v>6.75</v>
      </c>
      <c r="X5" s="237">
        <v>0</v>
      </c>
      <c r="Y5" s="237" t="str">
        <f t="shared" si="8"/>
        <v>0</v>
      </c>
      <c r="Z5" s="237">
        <v>0.59</v>
      </c>
      <c r="AA5" s="237">
        <f t="shared" si="9"/>
        <v>6.75</v>
      </c>
      <c r="AB5" s="237">
        <v>0</v>
      </c>
      <c r="AC5" s="237" t="str">
        <f t="shared" si="10"/>
        <v>0</v>
      </c>
      <c r="AD5" s="237">
        <v>0.98309999999999997</v>
      </c>
      <c r="AE5" s="237">
        <v>1.125</v>
      </c>
      <c r="AF5" s="237">
        <v>0</v>
      </c>
      <c r="AG5" s="237" t="str">
        <f t="shared" si="11"/>
        <v>0</v>
      </c>
      <c r="AH5" s="242">
        <v>0.10018130841121495</v>
      </c>
      <c r="AI5" s="304">
        <v>8</v>
      </c>
      <c r="AJ5" s="237">
        <v>0</v>
      </c>
      <c r="AK5" s="237" t="str">
        <f t="shared" si="12"/>
        <v>0</v>
      </c>
      <c r="AL5" s="279">
        <f t="shared" si="13"/>
        <v>54.5</v>
      </c>
      <c r="AM5" s="237" t="s">
        <v>703</v>
      </c>
    </row>
    <row r="6" spans="1:39">
      <c r="A6" s="237" t="s">
        <v>734</v>
      </c>
      <c r="B6" s="237">
        <v>25.4</v>
      </c>
      <c r="C6" s="237">
        <f t="shared" si="0"/>
        <v>13.5</v>
      </c>
      <c r="D6" s="237">
        <v>0</v>
      </c>
      <c r="E6" s="237" t="str">
        <f t="shared" si="1"/>
        <v>0</v>
      </c>
      <c r="F6" s="237">
        <v>60.4</v>
      </c>
      <c r="G6" s="237">
        <f t="shared" si="2"/>
        <v>13.5</v>
      </c>
      <c r="H6" s="237">
        <v>0</v>
      </c>
      <c r="I6" s="237" t="str">
        <f t="shared" si="3"/>
        <v>0</v>
      </c>
      <c r="J6" s="242">
        <v>0.15622006118922926</v>
      </c>
      <c r="K6" s="251">
        <f t="shared" ref="K6:K12" si="14">IF(J6&gt;QUARTILE($J$4:$J$13,3),$B$33,IF(AND(J6&lt;=QUARTILE($J$4:$J$13,3),J6&gt;QUARTILE($J$4:$J$13,2)),$B$32,IF(AND(J6&lt;=QUARTILE($J$4:$J$13,2),J6&gt;QUARTILE($J$4:$J$13,1)),$B$31,$B$30)))</f>
        <v>3.75</v>
      </c>
      <c r="L6" s="242">
        <v>-0.14499999999999999</v>
      </c>
      <c r="M6" s="251">
        <f t="shared" ref="M6:M12" si="15">IF(L6&gt;QUARTILE($L$4:$L$13,3),$B$39,IF(AND(L6&lt;=QUARTILE($L$4:$L$13,3),L6&gt;QUARTILE($L$4:$L$13,2)),$B$38,IF(AND(L6&lt;=QUARTILE($L$4:$L$14,2),L6&gt;QUARTILE($L$4:$L$13,1)),$B$37,$B$36)))</f>
        <v>5</v>
      </c>
      <c r="N6" s="237">
        <v>14.75</v>
      </c>
      <c r="O6" s="251">
        <f t="shared" ref="O6:O12" si="16">IF(N6&gt;QUARTILE($N$4:$N$13,3),$B$45,IF(AND(N6&lt;=QUARTILE($N$4:$N$13,3),N6&gt;QUARTILE($N$4:$N$13,2)),$B$44,IF(AND(N6&lt;=QUARTILE($N$4:$N$13,2),N6&gt;QUARTILE($N$4:$N$13,1)),$B$43,$B$42)))</f>
        <v>3.375</v>
      </c>
      <c r="P6" s="237">
        <v>1</v>
      </c>
      <c r="Q6" s="237">
        <f t="shared" si="4"/>
        <v>0.5</v>
      </c>
      <c r="R6" s="237">
        <v>42.55</v>
      </c>
      <c r="S6" s="237">
        <f t="shared" si="5"/>
        <v>9</v>
      </c>
      <c r="T6" s="237">
        <v>0</v>
      </c>
      <c r="U6" s="237" t="str">
        <f t="shared" si="6"/>
        <v>0</v>
      </c>
      <c r="V6" s="237">
        <v>24.83</v>
      </c>
      <c r="W6" s="237">
        <f t="shared" si="7"/>
        <v>13.5</v>
      </c>
      <c r="X6" s="237">
        <v>0</v>
      </c>
      <c r="Y6" s="237" t="str">
        <f t="shared" si="8"/>
        <v>0</v>
      </c>
      <c r="Z6" s="237">
        <v>24.34</v>
      </c>
      <c r="AA6" s="237">
        <f t="shared" si="9"/>
        <v>13.5</v>
      </c>
      <c r="AB6" s="237">
        <v>0</v>
      </c>
      <c r="AC6" s="237" t="str">
        <f t="shared" si="10"/>
        <v>0</v>
      </c>
      <c r="AD6" s="237">
        <v>1.3304</v>
      </c>
      <c r="AE6" s="251">
        <f t="shared" ref="AE6:AE12" si="17">IF(AD6&gt;QUARTILE($AD$4:$AD$13,3),$B$69,IF(AND(AD6&lt;=QUARTILE($AD$4:$AD$13,3),AD6&gt;QUARTILE($AD$4:$AD$13,2)),$B$68,IF(AND(AD6&lt;=QUARTILE($AD$4:$AD$13,2),AD6&gt;QUARTILE($AD$4:$AD$13,1)),$B$67,$B$66)))</f>
        <v>4.5</v>
      </c>
      <c r="AF6" s="237">
        <v>0</v>
      </c>
      <c r="AG6" s="237" t="str">
        <f t="shared" si="11"/>
        <v>0</v>
      </c>
      <c r="AH6" s="242">
        <v>0.32255760402302996</v>
      </c>
      <c r="AI6" s="251">
        <f>IF(AH6&gt;QUARTILE($AH$4:$AH$13,3),$B$75,IF(AND(AH6&lt;=QUARTILE($AH$4:$AH$13,3),AH6&gt;QUARTILE($AH$4:$AH$13,2)),$B$74,IF(AND(AH6&lt;=QUARTILE(AH6:$AH$13,2),AH6&gt;QUARTILE($AH$4:$AH$13,1)),$B$73,$B$72)))</f>
        <v>9</v>
      </c>
      <c r="AJ6" s="237">
        <v>1</v>
      </c>
      <c r="AK6" s="237">
        <f t="shared" si="12"/>
        <v>1</v>
      </c>
      <c r="AL6" s="279">
        <f t="shared" si="13"/>
        <v>90.125</v>
      </c>
      <c r="AM6" s="237" t="s">
        <v>734</v>
      </c>
    </row>
    <row r="7" spans="1:39">
      <c r="A7" s="237" t="s">
        <v>733</v>
      </c>
      <c r="B7" s="237">
        <v>14.1</v>
      </c>
      <c r="C7" s="237">
        <f t="shared" si="0"/>
        <v>13.5</v>
      </c>
      <c r="D7" s="237">
        <v>1</v>
      </c>
      <c r="E7" s="237">
        <f t="shared" si="1"/>
        <v>1.5</v>
      </c>
      <c r="F7" s="237">
        <v>31.5</v>
      </c>
      <c r="G7" s="237">
        <f t="shared" si="2"/>
        <v>10.125</v>
      </c>
      <c r="H7" s="237">
        <v>1</v>
      </c>
      <c r="I7" s="237">
        <f t="shared" si="3"/>
        <v>1.5</v>
      </c>
      <c r="J7" s="242">
        <v>-2.7189717571659555E-2</v>
      </c>
      <c r="K7" s="251">
        <f t="shared" si="14"/>
        <v>1.25</v>
      </c>
      <c r="L7" s="242">
        <v>0.95799999999999996</v>
      </c>
      <c r="M7" s="251">
        <f t="shared" si="15"/>
        <v>5</v>
      </c>
      <c r="N7" s="237">
        <v>23.46</v>
      </c>
      <c r="O7" s="251">
        <f t="shared" si="16"/>
        <v>3.375</v>
      </c>
      <c r="P7" s="237">
        <v>0</v>
      </c>
      <c r="Q7" s="237" t="str">
        <f t="shared" si="4"/>
        <v>0</v>
      </c>
      <c r="R7" s="237">
        <v>13.09</v>
      </c>
      <c r="S7" s="237">
        <f t="shared" si="5"/>
        <v>6.75</v>
      </c>
      <c r="T7" s="237">
        <v>1</v>
      </c>
      <c r="U7" s="237">
        <f t="shared" si="6"/>
        <v>1</v>
      </c>
      <c r="V7" s="237">
        <v>10.42</v>
      </c>
      <c r="W7" s="237">
        <f t="shared" si="7"/>
        <v>13.5</v>
      </c>
      <c r="X7" s="237">
        <v>1</v>
      </c>
      <c r="Y7" s="237">
        <f t="shared" si="8"/>
        <v>1.5</v>
      </c>
      <c r="Z7" s="237">
        <v>9.15</v>
      </c>
      <c r="AA7" s="237">
        <f t="shared" si="9"/>
        <v>13.5</v>
      </c>
      <c r="AB7" s="237">
        <v>1</v>
      </c>
      <c r="AC7" s="237">
        <f t="shared" si="10"/>
        <v>1.5</v>
      </c>
      <c r="AD7" s="237">
        <v>1.1163000000000001</v>
      </c>
      <c r="AE7" s="251">
        <f t="shared" si="17"/>
        <v>3.375</v>
      </c>
      <c r="AF7" s="237">
        <v>1</v>
      </c>
      <c r="AG7" s="237">
        <f t="shared" si="11"/>
        <v>0.5</v>
      </c>
      <c r="AH7" s="242">
        <v>0.24025974433687292</v>
      </c>
      <c r="AI7" s="251">
        <f>IF(AH7&gt;QUARTILE($AH$4:$AH$13,3),$B$75,IF(AND(AH7&lt;=QUARTILE($AH$4:$AH$13,3),AH7&gt;QUARTILE($AH$4:$AH$13,2)),$B$74,IF(AND(AH7&lt;=QUARTILE(AH7:$AH$13,2),AH7&gt;QUARTILE($AH$4:$AH$13,1)),$B$73,$B$72)))</f>
        <v>9</v>
      </c>
      <c r="AJ7" s="237">
        <v>1</v>
      </c>
      <c r="AK7" s="237">
        <f t="shared" si="12"/>
        <v>1</v>
      </c>
      <c r="AL7" s="279">
        <f t="shared" si="13"/>
        <v>87.875</v>
      </c>
      <c r="AM7" s="237" t="s">
        <v>733</v>
      </c>
    </row>
    <row r="8" spans="1:39">
      <c r="A8" s="237" t="s">
        <v>732</v>
      </c>
      <c r="B8" s="237">
        <v>8.8000000000000007</v>
      </c>
      <c r="C8" s="237">
        <f t="shared" si="0"/>
        <v>13.5</v>
      </c>
      <c r="D8" s="237">
        <v>0</v>
      </c>
      <c r="E8" s="237" t="str">
        <f t="shared" si="1"/>
        <v>0</v>
      </c>
      <c r="F8" s="237">
        <v>15.5</v>
      </c>
      <c r="G8" s="237">
        <f t="shared" si="2"/>
        <v>10.125</v>
      </c>
      <c r="H8" s="237">
        <v>0</v>
      </c>
      <c r="I8" s="237" t="str">
        <f t="shared" si="3"/>
        <v>0</v>
      </c>
      <c r="J8" s="242">
        <v>9.501669759145237E-2</v>
      </c>
      <c r="K8" s="251">
        <f t="shared" si="14"/>
        <v>2.5</v>
      </c>
      <c r="L8" s="242">
        <v>-0.16600000000000001</v>
      </c>
      <c r="M8" s="251">
        <f t="shared" si="15"/>
        <v>3.75</v>
      </c>
      <c r="N8" s="237">
        <v>-1.88</v>
      </c>
      <c r="O8" s="251">
        <f t="shared" si="16"/>
        <v>4.5</v>
      </c>
      <c r="P8" s="237">
        <v>1</v>
      </c>
      <c r="Q8" s="237">
        <f t="shared" si="4"/>
        <v>0.5</v>
      </c>
      <c r="R8" s="237">
        <v>9.0399999999999991</v>
      </c>
      <c r="S8" s="237">
        <f t="shared" si="5"/>
        <v>6.75</v>
      </c>
      <c r="T8" s="237">
        <v>1</v>
      </c>
      <c r="U8" s="237">
        <f t="shared" si="6"/>
        <v>1</v>
      </c>
      <c r="V8" s="237">
        <v>7.16</v>
      </c>
      <c r="W8" s="237">
        <f t="shared" si="7"/>
        <v>10.125</v>
      </c>
      <c r="X8" s="237">
        <v>1</v>
      </c>
      <c r="Y8" s="237">
        <f t="shared" si="8"/>
        <v>1.5</v>
      </c>
      <c r="Z8" s="237">
        <v>4.95</v>
      </c>
      <c r="AA8" s="237">
        <f t="shared" si="9"/>
        <v>13.5</v>
      </c>
      <c r="AB8" s="237">
        <v>0</v>
      </c>
      <c r="AC8" s="237" t="str">
        <f t="shared" si="10"/>
        <v>0</v>
      </c>
      <c r="AD8" s="237">
        <v>1.0770999999999999</v>
      </c>
      <c r="AE8" s="251">
        <f t="shared" si="17"/>
        <v>2.25</v>
      </c>
      <c r="AF8" s="237">
        <v>1</v>
      </c>
      <c r="AG8" s="237">
        <f t="shared" si="11"/>
        <v>0.5</v>
      </c>
      <c r="AH8" s="242">
        <v>0.14714945793437129</v>
      </c>
      <c r="AI8" s="251">
        <f>IF(AH8&gt;QUARTILE($AH$4:$AH$13,3),$B$75,IF(AND(AH8&lt;=QUARTILE($AH$4:$AH$13,3),AH8&gt;QUARTILE($AH$4:$AH$13,2)),$B$74,IF(AND(AH8&lt;=QUARTILE(AH8:$AH$13,2),AH8&gt;QUARTILE($AH$4:$AH$13,1)),$B$73,$B$72)))</f>
        <v>6.75</v>
      </c>
      <c r="AJ8" s="237">
        <v>0</v>
      </c>
      <c r="AK8" s="237" t="str">
        <f t="shared" si="12"/>
        <v>0</v>
      </c>
      <c r="AL8" s="279">
        <f t="shared" si="13"/>
        <v>77.25</v>
      </c>
      <c r="AM8" s="237" t="s">
        <v>732</v>
      </c>
    </row>
    <row r="9" spans="1:39">
      <c r="A9" s="237" t="s">
        <v>731</v>
      </c>
      <c r="B9" s="237">
        <v>3.3</v>
      </c>
      <c r="C9" s="237">
        <f t="shared" si="0"/>
        <v>10.125</v>
      </c>
      <c r="D9" s="237">
        <v>0</v>
      </c>
      <c r="E9" s="237" t="str">
        <f t="shared" si="1"/>
        <v>0</v>
      </c>
      <c r="F9" s="237">
        <v>4.8</v>
      </c>
      <c r="G9" s="237">
        <f t="shared" si="2"/>
        <v>6.75</v>
      </c>
      <c r="H9" s="237">
        <v>0</v>
      </c>
      <c r="I9" s="237" t="str">
        <f t="shared" si="3"/>
        <v>0</v>
      </c>
      <c r="J9" s="242">
        <v>0.17857246524556625</v>
      </c>
      <c r="K9" s="251">
        <f t="shared" si="14"/>
        <v>5</v>
      </c>
      <c r="L9" s="242">
        <v>-0.73799999999999999</v>
      </c>
      <c r="M9" s="251">
        <f t="shared" si="15"/>
        <v>2.5</v>
      </c>
      <c r="N9" s="237">
        <v>179.33</v>
      </c>
      <c r="O9" s="251">
        <f t="shared" si="16"/>
        <v>1.125</v>
      </c>
      <c r="P9" s="237">
        <v>1</v>
      </c>
      <c r="Q9" s="237">
        <f t="shared" si="4"/>
        <v>0.5</v>
      </c>
      <c r="R9" s="237">
        <v>27.72</v>
      </c>
      <c r="S9" s="237">
        <f t="shared" si="5"/>
        <v>9</v>
      </c>
      <c r="T9" s="237">
        <v>0</v>
      </c>
      <c r="U9" s="237" t="str">
        <f t="shared" si="6"/>
        <v>0</v>
      </c>
      <c r="V9" s="237">
        <v>9.5299999999999994</v>
      </c>
      <c r="W9" s="237">
        <f t="shared" si="7"/>
        <v>13.5</v>
      </c>
      <c r="X9" s="237">
        <v>0</v>
      </c>
      <c r="Y9" s="237" t="str">
        <f t="shared" si="8"/>
        <v>0</v>
      </c>
      <c r="Z9" s="237">
        <v>6.89</v>
      </c>
      <c r="AA9" s="237">
        <f t="shared" si="9"/>
        <v>13.5</v>
      </c>
      <c r="AB9" s="237">
        <v>0</v>
      </c>
      <c r="AC9" s="237" t="str">
        <f t="shared" si="10"/>
        <v>0</v>
      </c>
      <c r="AD9" s="237">
        <v>1.1053999999999999</v>
      </c>
      <c r="AE9" s="251">
        <f t="shared" si="17"/>
        <v>3.375</v>
      </c>
      <c r="AF9" s="237">
        <v>0</v>
      </c>
      <c r="AG9" s="237" t="str">
        <f t="shared" si="11"/>
        <v>0</v>
      </c>
      <c r="AH9" s="242">
        <v>5.3577845823398175E-2</v>
      </c>
      <c r="AI9" s="251">
        <f>IF(AH9&gt;QUARTILE($AH$4:$AH$13,3),$B$75,IF(AND(AH9&lt;=QUARTILE($AH$4:$AH$13,3),AH9&gt;QUARTILE($AH$4:$AH$13,2)),$B$74,IF(AND(AH9&lt;=QUARTILE(AH9:$AH$13,2),AH9&gt;QUARTILE($AH$4:$AH$13,1)),$B$73,$B$72)))</f>
        <v>4.5</v>
      </c>
      <c r="AJ9" s="237">
        <v>0</v>
      </c>
      <c r="AK9" s="237" t="str">
        <f t="shared" si="12"/>
        <v>0</v>
      </c>
      <c r="AL9" s="279">
        <f t="shared" si="13"/>
        <v>69.875</v>
      </c>
      <c r="AM9" s="237" t="s">
        <v>731</v>
      </c>
    </row>
    <row r="10" spans="1:39">
      <c r="A10" s="237" t="s">
        <v>730</v>
      </c>
      <c r="B10" s="237">
        <v>27.1</v>
      </c>
      <c r="C10" s="237">
        <f t="shared" si="0"/>
        <v>13.5</v>
      </c>
      <c r="D10" s="237">
        <v>1</v>
      </c>
      <c r="E10" s="237">
        <f t="shared" si="1"/>
        <v>1.5</v>
      </c>
      <c r="F10" s="237">
        <v>37.700000000000003</v>
      </c>
      <c r="G10" s="237">
        <f t="shared" si="2"/>
        <v>13.5</v>
      </c>
      <c r="H10" s="237">
        <v>1</v>
      </c>
      <c r="I10" s="237">
        <f t="shared" si="3"/>
        <v>1.5</v>
      </c>
      <c r="J10" s="242">
        <v>0.14687441615520536</v>
      </c>
      <c r="K10" s="251">
        <f t="shared" si="14"/>
        <v>3.75</v>
      </c>
      <c r="L10" s="242">
        <v>0.498</v>
      </c>
      <c r="M10" s="251">
        <f t="shared" si="15"/>
        <v>5</v>
      </c>
      <c r="N10" s="237">
        <v>51.28</v>
      </c>
      <c r="O10" s="251">
        <f t="shared" si="16"/>
        <v>2.25</v>
      </c>
      <c r="P10" s="237">
        <v>1</v>
      </c>
      <c r="Q10" s="237">
        <f t="shared" si="4"/>
        <v>0.5</v>
      </c>
      <c r="R10" s="237">
        <v>27.57</v>
      </c>
      <c r="S10" s="237">
        <f t="shared" si="5"/>
        <v>9</v>
      </c>
      <c r="T10" s="237">
        <v>1</v>
      </c>
      <c r="U10" s="237">
        <f t="shared" si="6"/>
        <v>1</v>
      </c>
      <c r="V10" s="237">
        <v>20.36</v>
      </c>
      <c r="W10" s="237">
        <f t="shared" si="7"/>
        <v>13.5</v>
      </c>
      <c r="X10" s="237">
        <v>1</v>
      </c>
      <c r="Y10" s="237">
        <f t="shared" si="8"/>
        <v>1.5</v>
      </c>
      <c r="Z10" s="237">
        <v>18.309999999999999</v>
      </c>
      <c r="AA10" s="237">
        <f t="shared" si="9"/>
        <v>13.5</v>
      </c>
      <c r="AB10" s="237">
        <v>1</v>
      </c>
      <c r="AC10" s="237">
        <f t="shared" si="10"/>
        <v>1.5</v>
      </c>
      <c r="AD10" s="237">
        <v>1.2557</v>
      </c>
      <c r="AE10" s="251">
        <f t="shared" si="17"/>
        <v>4.5</v>
      </c>
      <c r="AF10" s="237">
        <v>1</v>
      </c>
      <c r="AG10" s="237">
        <f t="shared" si="11"/>
        <v>0.5</v>
      </c>
      <c r="AH10" s="242">
        <v>0.35675903242321544</v>
      </c>
      <c r="AI10" s="251">
        <f>IF(AH10&gt;QUARTILE($AH$4:$AH$13,3),$B$75,IF(AND(AH10&lt;=QUARTILE($AH$4:$AH$13,3),AH10&gt;QUARTILE($AH$4:$AH$13,2)),$B$74,IF(AND(AH10&lt;=QUARTILE(AH10:$AH$13,2),AH10&gt;QUARTILE($AH$4:$AH$13,1)),$B$73,$B$72)))</f>
        <v>9</v>
      </c>
      <c r="AJ10" s="237">
        <v>1</v>
      </c>
      <c r="AK10" s="237">
        <f t="shared" si="12"/>
        <v>1</v>
      </c>
      <c r="AL10" s="279">
        <f t="shared" si="13"/>
        <v>96.5</v>
      </c>
      <c r="AM10" s="237" t="s">
        <v>730</v>
      </c>
    </row>
    <row r="11" spans="1:39">
      <c r="A11" s="237" t="s">
        <v>729</v>
      </c>
      <c r="B11" s="237">
        <v>10.7</v>
      </c>
      <c r="C11" s="237">
        <f t="shared" si="0"/>
        <v>13.5</v>
      </c>
      <c r="D11" s="237">
        <v>0</v>
      </c>
      <c r="E11" s="237" t="str">
        <f t="shared" si="1"/>
        <v>0</v>
      </c>
      <c r="F11" s="237">
        <v>16.100000000000001</v>
      </c>
      <c r="G11" s="237">
        <f t="shared" si="2"/>
        <v>10.125</v>
      </c>
      <c r="H11" s="237">
        <v>0</v>
      </c>
      <c r="I11" s="237" t="str">
        <f t="shared" si="3"/>
        <v>0</v>
      </c>
      <c r="J11" s="242">
        <v>8.7643888838550454E-2</v>
      </c>
      <c r="K11" s="251">
        <f t="shared" si="14"/>
        <v>1.25</v>
      </c>
      <c r="L11" s="270">
        <v>-0.41</v>
      </c>
      <c r="M11" s="251">
        <f t="shared" si="15"/>
        <v>3.75</v>
      </c>
      <c r="N11" s="237">
        <v>70.209999999999994</v>
      </c>
      <c r="O11" s="251">
        <f t="shared" si="16"/>
        <v>2.25</v>
      </c>
      <c r="P11" s="237">
        <v>0</v>
      </c>
      <c r="Q11" s="237" t="str">
        <f t="shared" si="4"/>
        <v>0</v>
      </c>
      <c r="R11" s="237">
        <v>11.86</v>
      </c>
      <c r="S11" s="237">
        <f t="shared" si="5"/>
        <v>6.75</v>
      </c>
      <c r="T11" s="237">
        <v>0</v>
      </c>
      <c r="U11" s="237" t="str">
        <f t="shared" si="6"/>
        <v>0</v>
      </c>
      <c r="V11" s="237">
        <v>11.68</v>
      </c>
      <c r="W11" s="237">
        <f t="shared" si="7"/>
        <v>13.5</v>
      </c>
      <c r="X11" s="237">
        <v>0</v>
      </c>
      <c r="Y11" s="237" t="str">
        <f t="shared" si="8"/>
        <v>0</v>
      </c>
      <c r="Z11" s="237">
        <v>9.1300000000000008</v>
      </c>
      <c r="AA11" s="237">
        <f t="shared" si="9"/>
        <v>13.5</v>
      </c>
      <c r="AB11" s="237">
        <v>0</v>
      </c>
      <c r="AC11" s="237" t="str">
        <f t="shared" si="10"/>
        <v>0</v>
      </c>
      <c r="AD11" s="237">
        <v>1.1322000000000001</v>
      </c>
      <c r="AE11" s="251">
        <f t="shared" si="17"/>
        <v>4.5</v>
      </c>
      <c r="AF11" s="237">
        <v>0</v>
      </c>
      <c r="AG11" s="237" t="str">
        <f t="shared" si="11"/>
        <v>0</v>
      </c>
      <c r="AH11" s="242">
        <v>0.12974544464107421</v>
      </c>
      <c r="AI11" s="251">
        <f>IF(AH11&gt;QUARTILE($AH$4:$AH$13,3),$B$75,IF(AND(AH11&lt;=QUARTILE($AH$4:$AH$13,3),AH11&gt;QUARTILE($AH$4:$AH$13,2)),$B$74,IF(AND(AH11&lt;=QUARTILE(AH11:$AH$13,2),AH11&gt;QUARTILE($AH$4:$AH$13,1)),$B$73,$B$72)))</f>
        <v>6.75</v>
      </c>
      <c r="AJ11" s="237">
        <v>0</v>
      </c>
      <c r="AK11" s="237" t="str">
        <f t="shared" si="12"/>
        <v>0</v>
      </c>
      <c r="AL11" s="279">
        <f t="shared" si="13"/>
        <v>75.875</v>
      </c>
      <c r="AM11" s="237" t="s">
        <v>729</v>
      </c>
    </row>
    <row r="12" spans="1:39">
      <c r="A12" s="237" t="s">
        <v>728</v>
      </c>
      <c r="B12" s="237">
        <v>-17.8</v>
      </c>
      <c r="C12" s="237">
        <f t="shared" si="0"/>
        <v>3.375</v>
      </c>
      <c r="D12" s="237">
        <v>0</v>
      </c>
      <c r="E12" s="237" t="str">
        <f t="shared" si="1"/>
        <v>0</v>
      </c>
      <c r="F12" s="237">
        <v>-25.2</v>
      </c>
      <c r="G12" s="237">
        <f t="shared" si="2"/>
        <v>3.375</v>
      </c>
      <c r="H12" s="237">
        <v>0</v>
      </c>
      <c r="I12" s="237" t="str">
        <f t="shared" si="3"/>
        <v>0</v>
      </c>
      <c r="J12" s="242">
        <v>0.38181762998718627</v>
      </c>
      <c r="K12" s="251">
        <f t="shared" si="14"/>
        <v>5</v>
      </c>
      <c r="L12" s="242">
        <v>-5.3869999999999996</v>
      </c>
      <c r="M12" s="251">
        <f t="shared" si="15"/>
        <v>1.25</v>
      </c>
      <c r="N12" s="237">
        <v>199.45</v>
      </c>
      <c r="O12" s="251">
        <f t="shared" si="16"/>
        <v>1.125</v>
      </c>
      <c r="P12" s="237">
        <v>0</v>
      </c>
      <c r="Q12" s="237" t="str">
        <f t="shared" si="4"/>
        <v>0</v>
      </c>
      <c r="R12" s="237">
        <v>-18</v>
      </c>
      <c r="S12" s="237">
        <f t="shared" si="5"/>
        <v>2.25</v>
      </c>
      <c r="T12" s="237">
        <v>0</v>
      </c>
      <c r="U12" s="237" t="str">
        <f t="shared" si="6"/>
        <v>0</v>
      </c>
      <c r="V12" s="237">
        <v>-13.51</v>
      </c>
      <c r="W12" s="237">
        <f t="shared" si="7"/>
        <v>3.375</v>
      </c>
      <c r="X12" s="237">
        <v>0</v>
      </c>
      <c r="Y12" s="237" t="str">
        <f t="shared" si="8"/>
        <v>0</v>
      </c>
      <c r="Z12" s="237">
        <v>-21.19</v>
      </c>
      <c r="AA12" s="237">
        <f t="shared" si="9"/>
        <v>3.375</v>
      </c>
      <c r="AB12" s="237">
        <v>0</v>
      </c>
      <c r="AC12" s="237" t="str">
        <f t="shared" si="10"/>
        <v>0</v>
      </c>
      <c r="AD12" s="237">
        <v>0.88090000000000002</v>
      </c>
      <c r="AE12" s="251">
        <f t="shared" si="17"/>
        <v>1.125</v>
      </c>
      <c r="AF12" s="237">
        <v>0</v>
      </c>
      <c r="AG12" s="237" t="str">
        <f t="shared" si="11"/>
        <v>0</v>
      </c>
      <c r="AH12" s="242">
        <v>-0.27595278403821427</v>
      </c>
      <c r="AI12" s="251">
        <f>IF(AH12&gt;QUARTILE($AH$4:$AH$13,3),$B$75,IF(AND(AH12&lt;=QUARTILE($AH$4:$AH$13,3),AH12&gt;QUARTILE($AH$4:$AH$13,2)),$B$74,IF(AND(AH12&lt;=QUARTILE(AH12:$AH$13,2),AH12&gt;QUARTILE($AH$4:$AH$13,1)),$B$73,$B$72)))</f>
        <v>2.25</v>
      </c>
      <c r="AJ12" s="237">
        <v>0</v>
      </c>
      <c r="AK12" s="237" t="str">
        <f t="shared" si="12"/>
        <v>0</v>
      </c>
      <c r="AL12" s="279">
        <f t="shared" si="13"/>
        <v>26.5</v>
      </c>
      <c r="AM12" s="237" t="s">
        <v>728</v>
      </c>
    </row>
    <row r="13" spans="1:39">
      <c r="A13" s="237" t="s">
        <v>702</v>
      </c>
      <c r="B13" s="237">
        <v>2.9</v>
      </c>
      <c r="C13" s="237">
        <f t="shared" si="0"/>
        <v>10.125</v>
      </c>
      <c r="D13" s="237">
        <v>0</v>
      </c>
      <c r="E13" s="237" t="str">
        <f t="shared" si="1"/>
        <v>0</v>
      </c>
      <c r="F13" s="237">
        <v>3.5</v>
      </c>
      <c r="G13" s="237">
        <f t="shared" si="2"/>
        <v>6.75</v>
      </c>
      <c r="H13" s="237">
        <v>0</v>
      </c>
      <c r="I13" s="237" t="str">
        <f t="shared" si="3"/>
        <v>0</v>
      </c>
      <c r="J13" s="242">
        <v>0.11548521588485716</v>
      </c>
      <c r="K13" s="237">
        <v>5</v>
      </c>
      <c r="L13" s="242">
        <v>-0.82299999999999995</v>
      </c>
      <c r="M13" s="237">
        <v>1.25</v>
      </c>
      <c r="N13" s="237">
        <v>119.52</v>
      </c>
      <c r="O13" s="237">
        <v>1.0625</v>
      </c>
      <c r="P13" s="237">
        <v>0</v>
      </c>
      <c r="Q13" s="237" t="str">
        <f t="shared" si="4"/>
        <v>0</v>
      </c>
      <c r="R13" s="237">
        <v>9.74</v>
      </c>
      <c r="S13" s="237">
        <f t="shared" si="5"/>
        <v>6.75</v>
      </c>
      <c r="T13" s="237">
        <v>0</v>
      </c>
      <c r="U13" s="237" t="str">
        <f t="shared" si="6"/>
        <v>0</v>
      </c>
      <c r="V13" s="237">
        <v>2.99</v>
      </c>
      <c r="W13" s="237">
        <f t="shared" si="7"/>
        <v>10.125</v>
      </c>
      <c r="X13" s="237">
        <v>0</v>
      </c>
      <c r="Y13" s="237" t="str">
        <f t="shared" si="8"/>
        <v>0</v>
      </c>
      <c r="Z13" s="237">
        <v>2.85</v>
      </c>
      <c r="AA13" s="237">
        <f t="shared" si="9"/>
        <v>10.125</v>
      </c>
      <c r="AB13" s="237">
        <v>0</v>
      </c>
      <c r="AC13" s="237" t="str">
        <f t="shared" si="10"/>
        <v>0</v>
      </c>
      <c r="AD13" s="237">
        <v>1.0308999999999999</v>
      </c>
      <c r="AE13" s="237">
        <v>3.375</v>
      </c>
      <c r="AF13" s="237">
        <v>0</v>
      </c>
      <c r="AG13" s="237" t="str">
        <f t="shared" si="11"/>
        <v>0</v>
      </c>
      <c r="AH13" s="242">
        <v>3.8748089608778E-2</v>
      </c>
      <c r="AI13" s="304">
        <v>4</v>
      </c>
      <c r="AJ13" s="237">
        <v>0</v>
      </c>
      <c r="AK13" s="237" t="str">
        <f t="shared" si="12"/>
        <v>0</v>
      </c>
      <c r="AL13" s="279">
        <f t="shared" si="13"/>
        <v>58.5625</v>
      </c>
      <c r="AM13" s="237" t="s">
        <v>702</v>
      </c>
    </row>
    <row r="15" spans="1:39" ht="18.75">
      <c r="A15" s="267" t="s">
        <v>60</v>
      </c>
      <c r="B15" s="267" t="s">
        <v>59</v>
      </c>
      <c r="C15" s="267"/>
      <c r="D15" s="267"/>
      <c r="E15" s="267"/>
      <c r="F15" s="267" t="s">
        <v>58</v>
      </c>
      <c r="G15" s="267"/>
      <c r="H15" s="266"/>
      <c r="I15" s="266"/>
      <c r="J15" s="266"/>
      <c r="K15" s="266"/>
      <c r="L15" s="266" t="s">
        <v>57</v>
      </c>
      <c r="M15" s="266"/>
    </row>
    <row r="16" spans="1:39" ht="17.25">
      <c r="A16" s="265" t="s">
        <v>56</v>
      </c>
      <c r="B16" s="256">
        <v>13.5</v>
      </c>
      <c r="C16" s="306"/>
      <c r="D16" s="263"/>
      <c r="E16" s="264"/>
      <c r="F16" s="256">
        <f>L16*0.1</f>
        <v>1.5</v>
      </c>
      <c r="G16" s="256"/>
      <c r="H16" s="262"/>
      <c r="I16" s="262"/>
      <c r="J16" s="262"/>
      <c r="K16" s="262"/>
      <c r="L16" s="256">
        <v>15</v>
      </c>
      <c r="M16" s="256"/>
    </row>
    <row r="17" spans="1:13">
      <c r="A17" s="250" t="s">
        <v>727</v>
      </c>
      <c r="B17" s="250">
        <f>B16*0.25</f>
        <v>3.375</v>
      </c>
      <c r="C17" s="251"/>
      <c r="D17" s="251"/>
      <c r="E17" s="250"/>
      <c r="F17" s="250" t="s">
        <v>7</v>
      </c>
      <c r="G17" s="250"/>
      <c r="H17" s="236">
        <v>1.5</v>
      </c>
    </row>
    <row r="18" spans="1:13">
      <c r="A18" s="250" t="s">
        <v>726</v>
      </c>
      <c r="B18" s="250">
        <f>B16*0.5</f>
        <v>6.75</v>
      </c>
      <c r="C18" s="251"/>
      <c r="D18" s="251"/>
      <c r="E18" s="250"/>
      <c r="F18" s="250" t="s">
        <v>4</v>
      </c>
      <c r="G18" s="250"/>
      <c r="H18" s="236">
        <v>0</v>
      </c>
    </row>
    <row r="19" spans="1:13">
      <c r="A19" s="250" t="s">
        <v>223</v>
      </c>
      <c r="B19" s="250">
        <f>B16*0.75</f>
        <v>10.125</v>
      </c>
      <c r="C19" s="251"/>
      <c r="D19" s="251"/>
      <c r="E19" s="250"/>
      <c r="F19" s="250"/>
      <c r="G19" s="250"/>
    </row>
    <row r="20" spans="1:13">
      <c r="A20" s="250" t="s">
        <v>222</v>
      </c>
      <c r="B20" s="250">
        <f>B16*1</f>
        <v>13.5</v>
      </c>
      <c r="C20" s="251"/>
      <c r="D20" s="251"/>
      <c r="E20" s="250"/>
      <c r="F20" s="250"/>
      <c r="G20" s="250"/>
    </row>
    <row r="21" spans="1:13">
      <c r="B21" s="250"/>
      <c r="C21" s="251"/>
      <c r="D21" s="251"/>
      <c r="E21" s="250"/>
      <c r="F21" s="250"/>
      <c r="G21" s="250"/>
    </row>
    <row r="22" spans="1:13" ht="17.25">
      <c r="A22" s="265" t="s">
        <v>51</v>
      </c>
      <c r="B22" s="256">
        <v>13.5</v>
      </c>
      <c r="C22" s="251"/>
      <c r="D22" s="251"/>
      <c r="E22" s="250"/>
      <c r="F22" s="250"/>
      <c r="G22" s="250"/>
    </row>
    <row r="23" spans="1:13">
      <c r="A23" s="302" t="s">
        <v>50</v>
      </c>
      <c r="B23" s="250">
        <f>B22*0.25</f>
        <v>3.375</v>
      </c>
      <c r="C23" s="306"/>
      <c r="D23" s="263"/>
      <c r="E23" s="264"/>
      <c r="F23" s="256">
        <f>L23*0.1</f>
        <v>1.5</v>
      </c>
      <c r="G23" s="256"/>
      <c r="H23" s="262"/>
      <c r="I23" s="262"/>
      <c r="J23" s="262"/>
      <c r="K23" s="262"/>
      <c r="L23" s="256">
        <v>15</v>
      </c>
      <c r="M23" s="256"/>
    </row>
    <row r="24" spans="1:13">
      <c r="A24" s="250" t="s">
        <v>221</v>
      </c>
      <c r="B24" s="250">
        <f>B22*0.5</f>
        <v>6.75</v>
      </c>
      <c r="C24" s="251"/>
      <c r="D24" s="251"/>
      <c r="E24" s="250"/>
      <c r="F24" s="250" t="s">
        <v>7</v>
      </c>
      <c r="G24" s="250"/>
      <c r="H24" s="236">
        <v>1.5</v>
      </c>
    </row>
    <row r="25" spans="1:13">
      <c r="A25" s="250" t="s">
        <v>220</v>
      </c>
      <c r="B25" s="250">
        <f>B22*0.75</f>
        <v>10.125</v>
      </c>
      <c r="C25" s="251"/>
      <c r="D25" s="251"/>
      <c r="E25" s="250"/>
      <c r="F25" s="250" t="s">
        <v>4</v>
      </c>
      <c r="G25" s="250"/>
      <c r="H25" s="236">
        <v>0</v>
      </c>
    </row>
    <row r="26" spans="1:13">
      <c r="A26" s="250" t="s">
        <v>219</v>
      </c>
      <c r="B26" s="250">
        <f>B22*1</f>
        <v>13.5</v>
      </c>
      <c r="C26" s="251"/>
      <c r="D26" s="251"/>
      <c r="E26" s="250"/>
      <c r="F26" s="250"/>
      <c r="G26" s="250"/>
    </row>
    <row r="27" spans="1:13">
      <c r="B27" s="250"/>
      <c r="C27" s="251"/>
      <c r="D27" s="251"/>
      <c r="E27" s="250"/>
      <c r="F27" s="250"/>
      <c r="G27" s="250"/>
    </row>
    <row r="28" spans="1:13">
      <c r="B28" s="250"/>
      <c r="C28" s="251"/>
      <c r="D28" s="251"/>
      <c r="E28" s="250"/>
      <c r="F28" s="250"/>
      <c r="G28" s="250"/>
    </row>
    <row r="29" spans="1:13" ht="17.25">
      <c r="A29" s="265" t="s">
        <v>46</v>
      </c>
      <c r="B29" s="256">
        <v>5</v>
      </c>
      <c r="C29" s="255"/>
      <c r="D29" s="251"/>
      <c r="E29" s="250"/>
      <c r="F29" s="250"/>
      <c r="G29" s="250"/>
      <c r="L29" s="249">
        <v>5</v>
      </c>
      <c r="M29" s="249"/>
    </row>
    <row r="30" spans="1:13">
      <c r="A30" s="236" t="s">
        <v>725</v>
      </c>
      <c r="B30" s="250">
        <f>B29*0.25</f>
        <v>1.25</v>
      </c>
      <c r="C30" s="251" t="s">
        <v>8</v>
      </c>
      <c r="D30" s="253">
        <f>QUARTILE(J4:J13,1)</f>
        <v>8.9487091026775933E-2</v>
      </c>
      <c r="E30" s="250"/>
      <c r="F30" s="250"/>
      <c r="G30" s="250"/>
    </row>
    <row r="31" spans="1:13">
      <c r="A31" s="236" t="s">
        <v>724</v>
      </c>
      <c r="B31" s="250">
        <f>B29*0.5</f>
        <v>2.5</v>
      </c>
      <c r="C31" s="251" t="s">
        <v>5</v>
      </c>
      <c r="D31" s="253">
        <f>QUARTILE(J4:J13,2)</f>
        <v>0.13117981602003126</v>
      </c>
      <c r="E31" s="250"/>
      <c r="F31" s="250"/>
      <c r="G31" s="250"/>
    </row>
    <row r="32" spans="1:13">
      <c r="A32" s="236" t="s">
        <v>723</v>
      </c>
      <c r="B32" s="250">
        <f>B29*0.75</f>
        <v>3.75</v>
      </c>
      <c r="C32" s="251" t="s">
        <v>2</v>
      </c>
      <c r="D32" s="253">
        <f>QUARTILE(J4:J13,3)</f>
        <v>0.172984364231482</v>
      </c>
      <c r="E32" s="250"/>
      <c r="F32" s="250"/>
      <c r="G32" s="250"/>
    </row>
    <row r="33" spans="1:13">
      <c r="A33" s="236" t="s">
        <v>722</v>
      </c>
      <c r="B33" s="250">
        <f>B29*1</f>
        <v>5</v>
      </c>
      <c r="C33" s="251"/>
      <c r="D33" s="251"/>
      <c r="E33" s="250"/>
      <c r="F33" s="250"/>
      <c r="G33" s="250"/>
    </row>
    <row r="34" spans="1:13">
      <c r="B34" s="250"/>
      <c r="C34" s="251"/>
      <c r="D34" s="251"/>
      <c r="E34" s="250"/>
      <c r="F34" s="250"/>
      <c r="G34" s="250"/>
    </row>
    <row r="35" spans="1:13" ht="17.25">
      <c r="A35" s="265" t="s">
        <v>41</v>
      </c>
      <c r="B35" s="256">
        <v>5</v>
      </c>
      <c r="C35" s="255"/>
      <c r="D35" s="251"/>
      <c r="E35" s="250"/>
      <c r="F35" s="250"/>
      <c r="G35" s="250"/>
      <c r="L35" s="249">
        <v>5</v>
      </c>
      <c r="M35" s="249"/>
    </row>
    <row r="36" spans="1:13">
      <c r="A36" s="236" t="s">
        <v>721</v>
      </c>
      <c r="B36" s="250">
        <f>B35*0.25</f>
        <v>1.25</v>
      </c>
      <c r="C36" s="251" t="s">
        <v>8</v>
      </c>
      <c r="D36" s="253">
        <f>QUARTILE(L4:L13,1)</f>
        <v>-0.87024999999999997</v>
      </c>
      <c r="E36" s="250"/>
      <c r="F36" s="250"/>
      <c r="G36" s="250"/>
    </row>
    <row r="37" spans="1:13">
      <c r="A37" s="236" t="s">
        <v>720</v>
      </c>
      <c r="B37" s="250">
        <f>B35*0.5</f>
        <v>2.5</v>
      </c>
      <c r="C37" s="251" t="s">
        <v>5</v>
      </c>
      <c r="D37" s="253">
        <f>QUARTILE(L4:L13,2)</f>
        <v>-0.57399999999999995</v>
      </c>
      <c r="E37" s="250"/>
      <c r="F37" s="250"/>
      <c r="G37" s="250"/>
    </row>
    <row r="38" spans="1:13">
      <c r="A38" s="236" t="s">
        <v>719</v>
      </c>
      <c r="B38" s="250">
        <f>B35*0.75</f>
        <v>3.75</v>
      </c>
      <c r="C38" s="251" t="s">
        <v>2</v>
      </c>
      <c r="D38" s="253">
        <f>QUARTILE(L4:L13,3)</f>
        <v>-0.15024999999999999</v>
      </c>
      <c r="E38" s="250"/>
      <c r="F38" s="250"/>
      <c r="G38" s="250"/>
    </row>
    <row r="39" spans="1:13">
      <c r="A39" s="236" t="s">
        <v>718</v>
      </c>
      <c r="B39" s="250">
        <f>B35*1</f>
        <v>5</v>
      </c>
      <c r="C39" s="251"/>
      <c r="D39" s="251"/>
      <c r="E39" s="250"/>
      <c r="F39" s="250"/>
      <c r="G39" s="250"/>
    </row>
    <row r="40" spans="1:13">
      <c r="B40" s="250"/>
      <c r="C40" s="251"/>
      <c r="D40" s="251"/>
      <c r="E40" s="250"/>
      <c r="F40" s="250"/>
      <c r="G40" s="250"/>
    </row>
    <row r="41" spans="1:13" ht="17.25">
      <c r="A41" s="290" t="s">
        <v>36</v>
      </c>
      <c r="B41" s="256">
        <v>4.5</v>
      </c>
      <c r="C41" s="255"/>
      <c r="D41" s="255"/>
      <c r="E41" s="254"/>
      <c r="F41" s="254">
        <f>L41*0.1</f>
        <v>0.5</v>
      </c>
      <c r="G41" s="254"/>
      <c r="H41" s="258"/>
      <c r="I41" s="258"/>
      <c r="J41" s="258"/>
      <c r="K41" s="258"/>
      <c r="L41" s="254">
        <v>5</v>
      </c>
      <c r="M41" s="254"/>
    </row>
    <row r="42" spans="1:13">
      <c r="A42" s="236" t="s">
        <v>717</v>
      </c>
      <c r="B42" s="250">
        <v>4.5</v>
      </c>
      <c r="C42" s="251" t="s">
        <v>8</v>
      </c>
      <c r="D42" s="251">
        <f>QUARTILE(N4:N13,1)</f>
        <v>9.9275000000000002</v>
      </c>
      <c r="E42" s="250"/>
      <c r="F42" s="250" t="s">
        <v>7</v>
      </c>
      <c r="G42" s="250"/>
      <c r="H42" s="236">
        <v>0.5</v>
      </c>
    </row>
    <row r="43" spans="1:13">
      <c r="A43" s="236" t="s">
        <v>716</v>
      </c>
      <c r="B43" s="250">
        <v>3.375</v>
      </c>
      <c r="C43" s="251" t="s">
        <v>5</v>
      </c>
      <c r="D43" s="251">
        <f>QUARTILE(N4:N13,2)</f>
        <v>37.370000000000005</v>
      </c>
      <c r="E43" s="250"/>
      <c r="F43" s="250" t="s">
        <v>4</v>
      </c>
      <c r="G43" s="250"/>
      <c r="H43" s="236">
        <v>0</v>
      </c>
    </row>
    <row r="44" spans="1:13">
      <c r="A44" s="236" t="s">
        <v>715</v>
      </c>
      <c r="B44" s="250">
        <v>2.25</v>
      </c>
      <c r="C44" s="251" t="s">
        <v>2</v>
      </c>
      <c r="D44" s="251">
        <f>QUARTILE(N4:N13,3)</f>
        <v>107.1925</v>
      </c>
      <c r="E44" s="250"/>
      <c r="F44" s="250"/>
      <c r="G44" s="250"/>
    </row>
    <row r="45" spans="1:13">
      <c r="A45" s="236" t="s">
        <v>714</v>
      </c>
      <c r="B45" s="250">
        <v>1.125</v>
      </c>
      <c r="C45" s="251"/>
      <c r="D45" s="251"/>
      <c r="E45" s="250"/>
      <c r="F45" s="250"/>
      <c r="G45" s="250"/>
    </row>
    <row r="46" spans="1:13">
      <c r="B46" s="250"/>
      <c r="C46" s="251"/>
      <c r="D46" s="251"/>
      <c r="E46" s="250"/>
      <c r="F46" s="250"/>
      <c r="G46" s="250"/>
    </row>
    <row r="47" spans="1:13" ht="17.25">
      <c r="A47" s="290" t="s">
        <v>31</v>
      </c>
      <c r="B47" s="256">
        <v>9</v>
      </c>
      <c r="C47" s="255"/>
      <c r="D47" s="255"/>
      <c r="E47" s="254"/>
      <c r="F47" s="254">
        <f>L47*0.1</f>
        <v>1</v>
      </c>
      <c r="G47" s="254"/>
      <c r="H47" s="258"/>
      <c r="I47" s="258"/>
      <c r="J47" s="258"/>
      <c r="K47" s="258"/>
      <c r="L47" s="254">
        <v>10</v>
      </c>
      <c r="M47" s="254"/>
    </row>
    <row r="48" spans="1:13">
      <c r="A48" s="237" t="s">
        <v>460</v>
      </c>
      <c r="B48" s="250">
        <f>B47*0.25</f>
        <v>2.25</v>
      </c>
      <c r="C48" s="251"/>
      <c r="D48" s="251"/>
      <c r="E48" s="250"/>
      <c r="F48" s="250" t="s">
        <v>7</v>
      </c>
      <c r="G48" s="250"/>
      <c r="H48" s="236">
        <v>1</v>
      </c>
    </row>
    <row r="49" spans="1:13">
      <c r="A49" s="237" t="s">
        <v>713</v>
      </c>
      <c r="B49" s="250">
        <f>B47*0.5</f>
        <v>4.5</v>
      </c>
      <c r="C49" s="251"/>
      <c r="D49" s="251"/>
      <c r="E49" s="250"/>
      <c r="F49" s="250" t="s">
        <v>4</v>
      </c>
      <c r="G49" s="250"/>
      <c r="H49" s="236">
        <v>0</v>
      </c>
    </row>
    <row r="50" spans="1:13">
      <c r="A50" s="237" t="s">
        <v>204</v>
      </c>
      <c r="B50" s="250">
        <f>B47*0.75</f>
        <v>6.75</v>
      </c>
      <c r="C50" s="251"/>
      <c r="D50" s="251"/>
      <c r="E50" s="250"/>
      <c r="F50" s="250"/>
      <c r="G50" s="250"/>
    </row>
    <row r="51" spans="1:13">
      <c r="A51" s="237" t="s">
        <v>203</v>
      </c>
      <c r="B51" s="250">
        <f>B47*1</f>
        <v>9</v>
      </c>
      <c r="C51" s="251"/>
      <c r="D51" s="251"/>
      <c r="E51" s="250"/>
      <c r="F51" s="250"/>
      <c r="G51" s="250"/>
    </row>
    <row r="52" spans="1:13">
      <c r="B52" s="250"/>
      <c r="C52" s="251"/>
      <c r="D52" s="251"/>
      <c r="E52" s="250"/>
      <c r="F52" s="250"/>
      <c r="G52" s="250"/>
    </row>
    <row r="53" spans="1:13" ht="17.25">
      <c r="A53" s="290" t="s">
        <v>26</v>
      </c>
      <c r="B53" s="256">
        <v>13.5</v>
      </c>
      <c r="C53" s="255"/>
      <c r="D53" s="255"/>
      <c r="E53" s="254"/>
      <c r="F53" s="254">
        <f>L53*0.1</f>
        <v>1.5</v>
      </c>
      <c r="G53" s="254"/>
      <c r="H53" s="258"/>
      <c r="I53" s="258"/>
      <c r="J53" s="258"/>
      <c r="K53" s="258"/>
      <c r="L53" s="254">
        <v>15</v>
      </c>
      <c r="M53" s="254"/>
    </row>
    <row r="54" spans="1:13">
      <c r="A54" s="237" t="s">
        <v>456</v>
      </c>
      <c r="B54" s="250">
        <f>B53*0.25</f>
        <v>3.375</v>
      </c>
      <c r="C54" s="251"/>
      <c r="D54" s="251"/>
      <c r="E54" s="250"/>
      <c r="F54" s="250" t="s">
        <v>7</v>
      </c>
      <c r="G54" s="250"/>
      <c r="H54" s="236">
        <v>1.5</v>
      </c>
    </row>
    <row r="55" spans="1:13">
      <c r="A55" s="237" t="s">
        <v>712</v>
      </c>
      <c r="B55" s="250">
        <f>B53*0.5</f>
        <v>6.75</v>
      </c>
      <c r="C55" s="251"/>
      <c r="D55" s="251"/>
      <c r="E55" s="250"/>
      <c r="F55" s="250" t="s">
        <v>4</v>
      </c>
      <c r="G55" s="250"/>
      <c r="H55" s="236">
        <v>0</v>
      </c>
    </row>
    <row r="56" spans="1:13">
      <c r="A56" s="237" t="s">
        <v>200</v>
      </c>
      <c r="B56" s="250">
        <f>B53*0.75</f>
        <v>10.125</v>
      </c>
      <c r="C56" s="251"/>
      <c r="D56" s="251"/>
      <c r="E56" s="250"/>
      <c r="F56" s="250"/>
      <c r="G56" s="250"/>
    </row>
    <row r="57" spans="1:13">
      <c r="A57" s="237" t="s">
        <v>199</v>
      </c>
      <c r="B57" s="250">
        <f>B53*1</f>
        <v>13.5</v>
      </c>
      <c r="C57" s="251"/>
      <c r="D57" s="251"/>
      <c r="E57" s="250"/>
      <c r="F57" s="250"/>
      <c r="G57" s="250"/>
    </row>
    <row r="58" spans="1:13">
      <c r="B58" s="250"/>
      <c r="C58" s="251"/>
      <c r="D58" s="251"/>
      <c r="E58" s="250"/>
      <c r="F58" s="250"/>
      <c r="G58" s="250"/>
    </row>
    <row r="59" spans="1:13" ht="17.25">
      <c r="A59" s="290" t="s">
        <v>21</v>
      </c>
      <c r="B59" s="256">
        <v>13.5</v>
      </c>
      <c r="C59" s="255"/>
      <c r="D59" s="255"/>
      <c r="E59" s="254"/>
      <c r="F59" s="254">
        <f>L59*0.1</f>
        <v>1.5</v>
      </c>
      <c r="G59" s="254"/>
      <c r="H59" s="258"/>
      <c r="I59" s="258"/>
      <c r="J59" s="258"/>
      <c r="K59" s="258"/>
      <c r="L59" s="254">
        <v>15</v>
      </c>
      <c r="M59" s="254"/>
    </row>
    <row r="60" spans="1:13">
      <c r="A60" s="237" t="s">
        <v>454</v>
      </c>
      <c r="B60" s="250">
        <f>B59*0.25</f>
        <v>3.375</v>
      </c>
      <c r="C60" s="251"/>
      <c r="D60" s="251"/>
      <c r="E60" s="250"/>
      <c r="F60" s="250" t="s">
        <v>7</v>
      </c>
      <c r="G60" s="250"/>
      <c r="H60" s="236">
        <v>1.5</v>
      </c>
    </row>
    <row r="61" spans="1:13">
      <c r="A61" s="237" t="s">
        <v>453</v>
      </c>
      <c r="B61" s="250">
        <f>B59*0.5</f>
        <v>6.75</v>
      </c>
      <c r="C61" s="251"/>
      <c r="D61" s="251"/>
      <c r="E61" s="250"/>
      <c r="F61" s="250" t="s">
        <v>4</v>
      </c>
      <c r="G61" s="250"/>
      <c r="H61" s="236">
        <v>0</v>
      </c>
    </row>
    <row r="62" spans="1:13">
      <c r="A62" s="237" t="s">
        <v>196</v>
      </c>
      <c r="B62" s="250">
        <f>B59*0.75</f>
        <v>10.125</v>
      </c>
      <c r="C62" s="251"/>
      <c r="D62" s="251"/>
      <c r="E62" s="250"/>
      <c r="F62" s="250"/>
      <c r="G62" s="250"/>
    </row>
    <row r="63" spans="1:13">
      <c r="A63" s="237" t="s">
        <v>195</v>
      </c>
      <c r="B63" s="250">
        <f>B59*1</f>
        <v>13.5</v>
      </c>
      <c r="C63" s="251"/>
      <c r="D63" s="251"/>
      <c r="E63" s="250"/>
      <c r="F63" s="250"/>
      <c r="G63" s="250"/>
    </row>
    <row r="64" spans="1:13">
      <c r="B64" s="250"/>
      <c r="C64" s="251"/>
      <c r="D64" s="251"/>
      <c r="E64" s="250"/>
      <c r="F64" s="250"/>
      <c r="G64" s="250"/>
    </row>
    <row r="65" spans="1:13" ht="17.25">
      <c r="A65" s="290" t="s">
        <v>16</v>
      </c>
      <c r="B65" s="256">
        <v>4.5</v>
      </c>
      <c r="C65" s="255"/>
      <c r="D65" s="255"/>
      <c r="E65" s="254"/>
      <c r="F65" s="254">
        <f>L65*0.1</f>
        <v>0.5</v>
      </c>
      <c r="G65" s="254"/>
      <c r="H65" s="258"/>
      <c r="I65" s="258"/>
      <c r="J65" s="258"/>
      <c r="K65" s="258"/>
      <c r="L65" s="254">
        <v>5</v>
      </c>
      <c r="M65" s="254"/>
    </row>
    <row r="66" spans="1:13">
      <c r="A66" s="305" t="s">
        <v>711</v>
      </c>
      <c r="B66" s="250">
        <f>B65*0.25</f>
        <v>1.125</v>
      </c>
      <c r="C66" s="251" t="s">
        <v>8</v>
      </c>
      <c r="D66" s="251">
        <f>QUARTILE(AD4:AD13,1)</f>
        <v>0.99504999999999999</v>
      </c>
      <c r="E66" s="250"/>
      <c r="F66" s="250" t="s">
        <v>7</v>
      </c>
      <c r="G66" s="250"/>
      <c r="H66" s="236">
        <v>0.5</v>
      </c>
    </row>
    <row r="67" spans="1:13">
      <c r="A67" s="305" t="s">
        <v>710</v>
      </c>
      <c r="B67" s="250">
        <f>B65*0.5</f>
        <v>2.25</v>
      </c>
      <c r="C67" s="251" t="s">
        <v>5</v>
      </c>
      <c r="D67" s="251">
        <f>QUARTILE(AD4:AD13,2)</f>
        <v>1.0912500000000001</v>
      </c>
      <c r="E67" s="250"/>
      <c r="F67" s="250" t="s">
        <v>4</v>
      </c>
      <c r="G67" s="250"/>
      <c r="H67" s="236">
        <v>0</v>
      </c>
    </row>
    <row r="68" spans="1:13">
      <c r="A68" s="305" t="s">
        <v>709</v>
      </c>
      <c r="B68" s="250">
        <f>B65*0.75</f>
        <v>3.375</v>
      </c>
      <c r="C68" s="251" t="s">
        <v>2</v>
      </c>
      <c r="D68" s="251">
        <f>QUARTILE(AD4:AD13,3)</f>
        <v>1.128225</v>
      </c>
      <c r="E68" s="250"/>
      <c r="F68" s="250"/>
      <c r="G68" s="250"/>
    </row>
    <row r="69" spans="1:13">
      <c r="A69" s="305" t="s">
        <v>708</v>
      </c>
      <c r="B69" s="250">
        <f>B65*1</f>
        <v>4.5</v>
      </c>
      <c r="C69" s="251"/>
      <c r="D69" s="251"/>
      <c r="E69" s="250"/>
      <c r="F69" s="250"/>
      <c r="G69" s="250"/>
    </row>
    <row r="70" spans="1:13">
      <c r="B70" s="250"/>
      <c r="C70" s="251"/>
      <c r="D70" s="251"/>
      <c r="E70" s="250"/>
      <c r="F70" s="250"/>
      <c r="G70" s="250"/>
    </row>
    <row r="71" spans="1:13" ht="17.25">
      <c r="A71" s="290" t="s">
        <v>11</v>
      </c>
      <c r="B71" s="256">
        <v>9</v>
      </c>
      <c r="C71" s="255"/>
      <c r="D71" s="255"/>
      <c r="E71" s="254"/>
      <c r="F71" s="254">
        <f>L71*0.1</f>
        <v>1</v>
      </c>
      <c r="G71" s="254"/>
      <c r="H71" s="254"/>
      <c r="I71" s="254"/>
      <c r="J71" s="254"/>
      <c r="K71" s="254"/>
      <c r="L71" s="254">
        <v>10</v>
      </c>
      <c r="M71" s="254"/>
    </row>
    <row r="72" spans="1:13">
      <c r="A72" s="305" t="s">
        <v>707</v>
      </c>
      <c r="B72" s="250">
        <f>B71*0.25</f>
        <v>2.25</v>
      </c>
      <c r="C72" s="251" t="s">
        <v>8</v>
      </c>
      <c r="D72" s="253">
        <f>QUARTILE(AH4:AH13,1)</f>
        <v>4.2455528662433045E-2</v>
      </c>
      <c r="E72" s="250"/>
      <c r="F72" s="250" t="s">
        <v>7</v>
      </c>
      <c r="G72" s="250"/>
      <c r="H72" s="236">
        <v>1</v>
      </c>
    </row>
    <row r="73" spans="1:13">
      <c r="A73" s="305" t="s">
        <v>706</v>
      </c>
      <c r="B73" s="250">
        <f>B71*0.5</f>
        <v>4.5</v>
      </c>
      <c r="C73" s="251" t="s">
        <v>5</v>
      </c>
      <c r="D73" s="253">
        <f>QUARTILE(AH4:AH84,2)</f>
        <v>0.10018130841121495</v>
      </c>
      <c r="E73" s="250"/>
      <c r="F73" s="250" t="s">
        <v>4</v>
      </c>
      <c r="G73" s="250"/>
      <c r="H73" s="236">
        <v>0</v>
      </c>
    </row>
    <row r="74" spans="1:13">
      <c r="A74" s="305" t="s">
        <v>705</v>
      </c>
      <c r="B74" s="250">
        <f>B71*0.75</f>
        <v>6.75</v>
      </c>
      <c r="C74" s="251" t="s">
        <v>2</v>
      </c>
      <c r="D74" s="253">
        <f>QUARTILE(AH4:AH13,3)</f>
        <v>0.21698217273624751</v>
      </c>
      <c r="E74" s="250"/>
      <c r="F74" s="250"/>
      <c r="G74" s="250"/>
    </row>
    <row r="75" spans="1:13">
      <c r="A75" s="305" t="s">
        <v>704</v>
      </c>
      <c r="B75" s="250">
        <f>B71*1</f>
        <v>9</v>
      </c>
      <c r="C75" s="251"/>
      <c r="D75" s="251"/>
      <c r="E75" s="250"/>
      <c r="F75" s="250"/>
      <c r="G75" s="250"/>
    </row>
    <row r="76" spans="1:13">
      <c r="B76" s="250"/>
      <c r="C76" s="250"/>
      <c r="D76" s="250"/>
      <c r="E76" s="250"/>
      <c r="F76" s="250"/>
      <c r="G76" s="250"/>
    </row>
    <row r="77" spans="1:13" ht="18.75">
      <c r="B77" s="530" t="s">
        <v>0</v>
      </c>
      <c r="C77" s="530"/>
      <c r="D77" s="530"/>
      <c r="E77" s="530"/>
      <c r="F77" s="530"/>
      <c r="G77" s="530"/>
      <c r="H77" s="530"/>
      <c r="I77" s="530"/>
      <c r="J77" s="530"/>
      <c r="K77" s="249"/>
      <c r="L77" s="248">
        <f>SUM(L16:L74)</f>
        <v>100</v>
      </c>
      <c r="M77" s="248"/>
    </row>
    <row r="84" spans="1:39">
      <c r="A84" s="237" t="s">
        <v>703</v>
      </c>
      <c r="B84" s="237">
        <v>2.1</v>
      </c>
      <c r="C84" s="237">
        <v>8.4375</v>
      </c>
      <c r="D84" s="237">
        <v>0</v>
      </c>
      <c r="E84" s="237">
        <v>0</v>
      </c>
      <c r="F84" s="237">
        <v>4.2</v>
      </c>
      <c r="G84" s="237">
        <v>8.4375</v>
      </c>
      <c r="H84" s="237">
        <v>0</v>
      </c>
      <c r="I84" s="237">
        <v>0</v>
      </c>
      <c r="J84" s="242">
        <v>0.18261627230882493</v>
      </c>
      <c r="K84" s="237">
        <v>5</v>
      </c>
      <c r="L84" s="242">
        <v>-0.88600000000000001</v>
      </c>
      <c r="M84" s="237">
        <v>1.25</v>
      </c>
      <c r="N84" s="237">
        <v>-19.149999999999999</v>
      </c>
      <c r="O84" s="237">
        <v>4.25</v>
      </c>
      <c r="P84" s="237">
        <v>0</v>
      </c>
      <c r="Q84" s="237">
        <v>0</v>
      </c>
      <c r="R84" s="237">
        <v>3.19</v>
      </c>
      <c r="S84" s="237">
        <v>4</v>
      </c>
      <c r="T84" s="237">
        <v>0</v>
      </c>
      <c r="U84" s="237">
        <v>0</v>
      </c>
      <c r="V84" s="237">
        <v>-1.71</v>
      </c>
      <c r="W84" s="237">
        <v>6</v>
      </c>
      <c r="X84" s="237">
        <v>0</v>
      </c>
      <c r="Y84" s="237">
        <v>0</v>
      </c>
      <c r="Z84" s="237">
        <v>0.59</v>
      </c>
      <c r="AA84" s="237">
        <v>6</v>
      </c>
      <c r="AB84" s="237">
        <v>0</v>
      </c>
      <c r="AC84" s="237">
        <v>0</v>
      </c>
      <c r="AD84" s="237">
        <v>0.98309999999999997</v>
      </c>
      <c r="AE84" s="237">
        <v>1.125</v>
      </c>
      <c r="AF84" s="237">
        <v>0</v>
      </c>
      <c r="AG84" s="237">
        <v>0</v>
      </c>
      <c r="AH84" s="242">
        <v>0.10018130841121495</v>
      </c>
      <c r="AI84" s="304">
        <v>8</v>
      </c>
      <c r="AJ84" s="237">
        <v>0</v>
      </c>
      <c r="AK84" s="237">
        <v>0</v>
      </c>
      <c r="AL84" s="303">
        <f t="shared" ref="AL84:AL93" si="18">C84+E84+G84+I84+K84+M84+O84+Q84+S84+U84+W84+Y84+AA84+AC84+AE84+AG84+AI84+AK84</f>
        <v>52.5</v>
      </c>
      <c r="AM84" s="302" t="s">
        <v>703</v>
      </c>
    </row>
    <row r="85" spans="1:39">
      <c r="A85" s="237" t="s">
        <v>702</v>
      </c>
      <c r="B85" s="237">
        <v>2.9</v>
      </c>
      <c r="C85" s="237">
        <v>8.4375</v>
      </c>
      <c r="D85" s="237">
        <v>0</v>
      </c>
      <c r="E85" s="237">
        <v>0</v>
      </c>
      <c r="F85" s="237">
        <v>3.5</v>
      </c>
      <c r="G85" s="237">
        <v>5.625</v>
      </c>
      <c r="H85" s="237">
        <v>0</v>
      </c>
      <c r="I85" s="237">
        <v>0</v>
      </c>
      <c r="J85" s="242">
        <v>0.11548521588485716</v>
      </c>
      <c r="K85" s="237">
        <v>5</v>
      </c>
      <c r="L85" s="242">
        <v>-0.82299999999999995</v>
      </c>
      <c r="M85" s="237">
        <v>1.25</v>
      </c>
      <c r="N85" s="237">
        <v>119.52</v>
      </c>
      <c r="O85" s="237">
        <v>1.0625</v>
      </c>
      <c r="P85" s="237">
        <v>0</v>
      </c>
      <c r="Q85" s="237">
        <v>0</v>
      </c>
      <c r="R85" s="237">
        <v>9.74</v>
      </c>
      <c r="S85" s="237">
        <v>6</v>
      </c>
      <c r="T85" s="237">
        <v>0</v>
      </c>
      <c r="U85" s="237">
        <v>0</v>
      </c>
      <c r="V85" s="237">
        <v>2.99</v>
      </c>
      <c r="W85" s="237">
        <v>9</v>
      </c>
      <c r="X85" s="237">
        <v>0</v>
      </c>
      <c r="Y85" s="237">
        <v>0</v>
      </c>
      <c r="Z85" s="237">
        <v>2.85</v>
      </c>
      <c r="AA85" s="237">
        <v>9</v>
      </c>
      <c r="AB85" s="237">
        <v>0</v>
      </c>
      <c r="AC85" s="237">
        <v>0</v>
      </c>
      <c r="AD85" s="237">
        <v>1.0308999999999999</v>
      </c>
      <c r="AE85" s="237">
        <v>3.375</v>
      </c>
      <c r="AF85" s="237">
        <v>0</v>
      </c>
      <c r="AG85" s="237">
        <v>0</v>
      </c>
      <c r="AH85" s="242">
        <v>3.8748089608778E-2</v>
      </c>
      <c r="AI85" s="304">
        <v>4</v>
      </c>
      <c r="AJ85" s="237">
        <v>0</v>
      </c>
      <c r="AK85" s="237">
        <v>0</v>
      </c>
      <c r="AL85" s="303">
        <f t="shared" si="18"/>
        <v>52.75</v>
      </c>
      <c r="AM85" s="302" t="s">
        <v>702</v>
      </c>
    </row>
    <row r="86" spans="1:39">
      <c r="A86" s="237" t="s">
        <v>701</v>
      </c>
      <c r="B86" s="237">
        <v>1.3</v>
      </c>
      <c r="C86" s="237">
        <v>8.4375</v>
      </c>
      <c r="D86" s="237">
        <v>0</v>
      </c>
      <c r="E86" s="237">
        <v>0</v>
      </c>
      <c r="F86" s="237">
        <v>1.9</v>
      </c>
      <c r="G86" s="237">
        <v>5.625</v>
      </c>
      <c r="H86" s="237">
        <v>0</v>
      </c>
      <c r="I86" s="237">
        <v>0</v>
      </c>
      <c r="J86" s="242">
        <v>-1.5299624748986829E-2</v>
      </c>
      <c r="K86" s="237">
        <v>1.25</v>
      </c>
      <c r="L86" s="270">
        <v>-0.81</v>
      </c>
      <c r="M86" s="237">
        <v>1.25</v>
      </c>
      <c r="N86" s="237">
        <v>52.68</v>
      </c>
      <c r="O86" s="237">
        <v>2.125</v>
      </c>
      <c r="P86" s="237">
        <v>1</v>
      </c>
      <c r="Q86" s="237">
        <v>0.75</v>
      </c>
      <c r="R86" s="237">
        <v>2.86</v>
      </c>
      <c r="S86" s="237">
        <v>4</v>
      </c>
      <c r="T86" s="237">
        <v>0</v>
      </c>
      <c r="U86" s="237">
        <v>0</v>
      </c>
      <c r="V86" s="237">
        <v>0.78</v>
      </c>
      <c r="W86" s="237">
        <v>6</v>
      </c>
      <c r="X86" s="237">
        <v>0</v>
      </c>
      <c r="Y86" s="237">
        <v>0</v>
      </c>
      <c r="Z86" s="237">
        <v>0.46</v>
      </c>
      <c r="AA86" s="237">
        <v>6</v>
      </c>
      <c r="AB86" s="237">
        <v>0</v>
      </c>
      <c r="AC86" s="237">
        <v>0</v>
      </c>
      <c r="AD86" s="237">
        <v>1.0078</v>
      </c>
      <c r="AE86" s="237">
        <v>3.375</v>
      </c>
      <c r="AF86" s="237">
        <v>0</v>
      </c>
      <c r="AG86" s="237">
        <v>0</v>
      </c>
      <c r="AH86" s="242">
        <v>3.8381186411450254E-2</v>
      </c>
      <c r="AI86" s="304">
        <v>4</v>
      </c>
      <c r="AJ86" s="237">
        <v>0</v>
      </c>
      <c r="AK86" s="237">
        <v>0</v>
      </c>
      <c r="AL86" s="303">
        <f t="shared" si="18"/>
        <v>42.8125</v>
      </c>
      <c r="AM86" s="302" t="s">
        <v>701</v>
      </c>
    </row>
    <row r="87" spans="1:39">
      <c r="A87" s="237" t="s">
        <v>700</v>
      </c>
      <c r="B87" s="237">
        <v>9.9</v>
      </c>
      <c r="C87" s="237">
        <v>11.25</v>
      </c>
      <c r="D87" s="237">
        <v>1</v>
      </c>
      <c r="E87" s="237">
        <v>3.75</v>
      </c>
      <c r="F87" s="237">
        <v>18.2</v>
      </c>
      <c r="G87" s="237">
        <v>8.4375</v>
      </c>
      <c r="H87" s="237">
        <v>1</v>
      </c>
      <c r="I87" s="237">
        <v>3.75</v>
      </c>
      <c r="J87" s="242">
        <v>3.7674150812117668E-2</v>
      </c>
      <c r="K87" s="237">
        <v>3.75</v>
      </c>
      <c r="L87" s="242">
        <v>0.23799999999999999</v>
      </c>
      <c r="M87" s="237">
        <v>3.75</v>
      </c>
      <c r="N87" s="237">
        <v>106.26</v>
      </c>
      <c r="O87" s="237">
        <v>2.125</v>
      </c>
      <c r="P87" s="237">
        <v>0</v>
      </c>
      <c r="Q87" s="237">
        <v>0</v>
      </c>
      <c r="R87" s="237">
        <v>20.81</v>
      </c>
      <c r="S87" s="237">
        <v>8</v>
      </c>
      <c r="T87" s="237">
        <v>1</v>
      </c>
      <c r="U87" s="237">
        <v>2</v>
      </c>
      <c r="V87" s="237">
        <v>12.26</v>
      </c>
      <c r="W87" s="237">
        <v>12</v>
      </c>
      <c r="X87" s="237">
        <v>1</v>
      </c>
      <c r="Y87" s="237">
        <v>3</v>
      </c>
      <c r="Z87" s="237">
        <v>9.49</v>
      </c>
      <c r="AA87" s="237">
        <v>12</v>
      </c>
      <c r="AB87" s="237">
        <v>1</v>
      </c>
      <c r="AC87" s="237">
        <v>3</v>
      </c>
      <c r="AD87" s="237">
        <v>1.1397999999999999</v>
      </c>
      <c r="AE87" s="237">
        <v>4.5</v>
      </c>
      <c r="AF87" s="237">
        <v>1</v>
      </c>
      <c r="AG87" s="237">
        <v>0.5</v>
      </c>
      <c r="AH87" s="242">
        <v>0.13747334156114863</v>
      </c>
      <c r="AI87" s="304">
        <v>8</v>
      </c>
      <c r="AJ87" s="237">
        <v>1</v>
      </c>
      <c r="AK87" s="237">
        <v>2</v>
      </c>
      <c r="AL87" s="303">
        <f t="shared" si="18"/>
        <v>91.8125</v>
      </c>
      <c r="AM87" s="302" t="s">
        <v>700</v>
      </c>
    </row>
    <row r="88" spans="1:39">
      <c r="A88" s="237" t="s">
        <v>699</v>
      </c>
      <c r="B88" s="237">
        <v>15.1</v>
      </c>
      <c r="C88" s="237">
        <v>11.25</v>
      </c>
      <c r="D88" s="237">
        <v>1</v>
      </c>
      <c r="E88" s="237">
        <v>3.75</v>
      </c>
      <c r="F88" s="237">
        <v>18.7</v>
      </c>
      <c r="G88" s="237">
        <v>8.4375</v>
      </c>
      <c r="H88" s="237">
        <v>1</v>
      </c>
      <c r="I88" s="237">
        <v>3.75</v>
      </c>
      <c r="J88" s="242">
        <v>9.2200661797895656E-2</v>
      </c>
      <c r="K88" s="237">
        <v>5</v>
      </c>
      <c r="L88" s="242">
        <v>0.17299999999999999</v>
      </c>
      <c r="M88" s="237">
        <v>3.75</v>
      </c>
      <c r="N88" s="237">
        <v>237.01</v>
      </c>
      <c r="O88" s="237">
        <v>1.0625</v>
      </c>
      <c r="P88" s="237">
        <v>0</v>
      </c>
      <c r="Q88" s="237">
        <v>0</v>
      </c>
      <c r="R88" s="237">
        <v>22.16</v>
      </c>
      <c r="S88" s="237">
        <v>8</v>
      </c>
      <c r="T88" s="237">
        <v>1</v>
      </c>
      <c r="U88" s="237">
        <v>2</v>
      </c>
      <c r="V88" s="237">
        <v>15.1</v>
      </c>
      <c r="W88" s="237">
        <v>12</v>
      </c>
      <c r="X88" s="237">
        <v>1</v>
      </c>
      <c r="Y88" s="237">
        <v>3</v>
      </c>
      <c r="Z88" s="237">
        <v>15.8</v>
      </c>
      <c r="AA88" s="237">
        <v>12</v>
      </c>
      <c r="AB88" s="237">
        <v>1</v>
      </c>
      <c r="AC88" s="237">
        <v>3</v>
      </c>
      <c r="AD88" s="237">
        <v>1.1776</v>
      </c>
      <c r="AE88" s="237">
        <v>4.5</v>
      </c>
      <c r="AF88" s="237">
        <v>1</v>
      </c>
      <c r="AG88" s="237">
        <v>0.5</v>
      </c>
      <c r="AH88" s="242">
        <v>0.19416652243952445</v>
      </c>
      <c r="AI88" s="304">
        <v>8</v>
      </c>
      <c r="AJ88" s="237">
        <v>1</v>
      </c>
      <c r="AK88" s="237">
        <v>2</v>
      </c>
      <c r="AL88" s="303">
        <f t="shared" si="18"/>
        <v>92</v>
      </c>
      <c r="AM88" s="302" t="s">
        <v>699</v>
      </c>
    </row>
    <row r="89" spans="1:39">
      <c r="A89" s="237" t="s">
        <v>698</v>
      </c>
      <c r="B89" s="237">
        <v>2.8</v>
      </c>
      <c r="C89" s="237">
        <v>8.4375</v>
      </c>
      <c r="D89" s="237">
        <v>0</v>
      </c>
      <c r="E89" s="237">
        <v>0</v>
      </c>
      <c r="F89" s="237">
        <v>7.8</v>
      </c>
      <c r="G89" s="237">
        <v>8.4375</v>
      </c>
      <c r="H89" s="237">
        <v>1</v>
      </c>
      <c r="I89" s="237">
        <v>3.75</v>
      </c>
      <c r="J89" s="242">
        <v>4.6479477420395821E-3</v>
      </c>
      <c r="K89" s="237">
        <v>2.5</v>
      </c>
      <c r="L89" s="242">
        <v>-5.1999999999999998E-2</v>
      </c>
      <c r="M89" s="237">
        <v>2.5</v>
      </c>
      <c r="N89" s="237">
        <v>154.51</v>
      </c>
      <c r="O89" s="237">
        <v>1.0625</v>
      </c>
      <c r="P89" s="237">
        <v>1</v>
      </c>
      <c r="Q89" s="237">
        <v>0.75</v>
      </c>
      <c r="R89" s="237">
        <v>6.32</v>
      </c>
      <c r="S89" s="237">
        <v>6</v>
      </c>
      <c r="T89" s="237">
        <v>0</v>
      </c>
      <c r="U89" s="237">
        <v>0</v>
      </c>
      <c r="V89" s="237">
        <v>5.58</v>
      </c>
      <c r="W89" s="237">
        <v>9</v>
      </c>
      <c r="X89" s="237">
        <v>1</v>
      </c>
      <c r="Y89" s="237">
        <v>3</v>
      </c>
      <c r="Z89" s="237">
        <v>3.02</v>
      </c>
      <c r="AA89" s="237">
        <v>9</v>
      </c>
      <c r="AB89" s="237">
        <v>1</v>
      </c>
      <c r="AC89" s="237">
        <v>3</v>
      </c>
      <c r="AD89" s="237">
        <v>1.0504</v>
      </c>
      <c r="AE89" s="237">
        <v>3.375</v>
      </c>
      <c r="AF89" s="237">
        <v>1</v>
      </c>
      <c r="AG89" s="237">
        <v>0.5</v>
      </c>
      <c r="AH89" s="242">
        <v>6.515441445899349E-2</v>
      </c>
      <c r="AI89" s="304">
        <v>6</v>
      </c>
      <c r="AJ89" s="237">
        <v>0</v>
      </c>
      <c r="AK89" s="237">
        <v>0</v>
      </c>
      <c r="AL89" s="303">
        <f t="shared" si="18"/>
        <v>67.3125</v>
      </c>
      <c r="AM89" s="302" t="s">
        <v>698</v>
      </c>
    </row>
    <row r="90" spans="1:39">
      <c r="A90" s="237" t="s">
        <v>697</v>
      </c>
      <c r="B90" s="237">
        <v>12.4</v>
      </c>
      <c r="C90" s="237">
        <v>11.25</v>
      </c>
      <c r="D90" s="237">
        <v>1</v>
      </c>
      <c r="E90" s="237">
        <v>3.75</v>
      </c>
      <c r="F90" s="237">
        <v>22.9</v>
      </c>
      <c r="G90" s="237">
        <v>8.4375</v>
      </c>
      <c r="H90" s="237">
        <v>0</v>
      </c>
      <c r="I90" s="237">
        <v>0</v>
      </c>
      <c r="J90" s="242">
        <v>0.15923111982609028</v>
      </c>
      <c r="K90" s="237">
        <v>5</v>
      </c>
      <c r="L90" s="242">
        <v>0.111</v>
      </c>
      <c r="M90" s="237">
        <v>3.75</v>
      </c>
      <c r="N90" s="237">
        <v>-6.38</v>
      </c>
      <c r="O90" s="237">
        <v>4.25</v>
      </c>
      <c r="P90" s="237">
        <v>0</v>
      </c>
      <c r="Q90" s="237">
        <v>0</v>
      </c>
      <c r="R90" s="237">
        <v>15.15</v>
      </c>
      <c r="S90" s="237">
        <v>8</v>
      </c>
      <c r="T90" s="237">
        <v>1</v>
      </c>
      <c r="U90" s="237">
        <v>2</v>
      </c>
      <c r="V90" s="237">
        <v>9.58</v>
      </c>
      <c r="W90" s="237">
        <v>12</v>
      </c>
      <c r="X90" s="237">
        <v>1</v>
      </c>
      <c r="Y90" s="237">
        <v>3</v>
      </c>
      <c r="Z90" s="237">
        <v>7.95</v>
      </c>
      <c r="AA90" s="237">
        <v>12</v>
      </c>
      <c r="AB90" s="237">
        <v>1</v>
      </c>
      <c r="AC90" s="237">
        <v>3</v>
      </c>
      <c r="AD90" s="237">
        <v>1.1059000000000001</v>
      </c>
      <c r="AE90" s="237">
        <v>4.5</v>
      </c>
      <c r="AF90" s="237">
        <v>1</v>
      </c>
      <c r="AG90" s="237">
        <v>0.5</v>
      </c>
      <c r="AH90" s="242">
        <v>0.18610777136762496</v>
      </c>
      <c r="AI90" s="304">
        <v>8</v>
      </c>
      <c r="AJ90" s="237">
        <v>1</v>
      </c>
      <c r="AK90" s="237">
        <v>2</v>
      </c>
      <c r="AL90" s="303">
        <f t="shared" si="18"/>
        <v>91.4375</v>
      </c>
      <c r="AM90" s="302" t="s">
        <v>697</v>
      </c>
    </row>
    <row r="91" spans="1:39">
      <c r="A91" s="237" t="s">
        <v>696</v>
      </c>
      <c r="B91" s="237">
        <v>8.4</v>
      </c>
      <c r="C91" s="237">
        <v>11.25</v>
      </c>
      <c r="D91" s="237">
        <v>0</v>
      </c>
      <c r="E91" s="237">
        <v>0</v>
      </c>
      <c r="F91" s="237">
        <v>27.7</v>
      </c>
      <c r="G91" s="237">
        <v>8.4375</v>
      </c>
      <c r="H91" s="237">
        <v>0</v>
      </c>
      <c r="I91" s="237">
        <v>0</v>
      </c>
      <c r="J91" s="242">
        <v>1.1749035694989196E-2</v>
      </c>
      <c r="K91" s="237">
        <v>3.75</v>
      </c>
      <c r="L91" s="242">
        <v>-0.627</v>
      </c>
      <c r="M91" s="237">
        <v>1.25</v>
      </c>
      <c r="N91" s="237">
        <v>114.79</v>
      </c>
      <c r="O91" s="237">
        <v>2.125</v>
      </c>
      <c r="P91" s="237">
        <v>1</v>
      </c>
      <c r="Q91" s="237">
        <v>0.75</v>
      </c>
      <c r="R91" s="237">
        <v>12.22</v>
      </c>
      <c r="S91" s="237">
        <v>6</v>
      </c>
      <c r="T91" s="237">
        <v>0</v>
      </c>
      <c r="U91" s="237">
        <v>0</v>
      </c>
      <c r="V91" s="237">
        <v>9.56</v>
      </c>
      <c r="W91" s="237">
        <v>12</v>
      </c>
      <c r="X91" s="237">
        <v>0</v>
      </c>
      <c r="Y91" s="237">
        <v>0</v>
      </c>
      <c r="Z91" s="237">
        <v>10.050000000000001</v>
      </c>
      <c r="AA91" s="237">
        <v>12</v>
      </c>
      <c r="AB91" s="237">
        <v>0</v>
      </c>
      <c r="AC91" s="237">
        <v>0</v>
      </c>
      <c r="AD91" s="237">
        <v>1.1056999999999999</v>
      </c>
      <c r="AE91" s="237">
        <v>4.5</v>
      </c>
      <c r="AF91" s="237">
        <v>0</v>
      </c>
      <c r="AG91" s="237">
        <v>0</v>
      </c>
      <c r="AH91" s="242">
        <v>0.16115317811396396</v>
      </c>
      <c r="AI91" s="304">
        <v>8</v>
      </c>
      <c r="AJ91" s="237">
        <v>0</v>
      </c>
      <c r="AK91" s="237">
        <v>0</v>
      </c>
      <c r="AL91" s="303">
        <f t="shared" si="18"/>
        <v>70.0625</v>
      </c>
      <c r="AM91" s="302" t="s">
        <v>696</v>
      </c>
    </row>
    <row r="92" spans="1:39">
      <c r="A92" s="237" t="s">
        <v>695</v>
      </c>
      <c r="B92" s="237">
        <v>-6.1</v>
      </c>
      <c r="C92" s="237">
        <v>2.8125</v>
      </c>
      <c r="D92" s="237">
        <v>0</v>
      </c>
      <c r="E92" s="237">
        <v>0</v>
      </c>
      <c r="F92" s="237">
        <v>-11.6</v>
      </c>
      <c r="G92" s="237">
        <v>2.81</v>
      </c>
      <c r="H92" s="237">
        <v>1</v>
      </c>
      <c r="I92" s="237">
        <v>3.75</v>
      </c>
      <c r="J92" s="242">
        <v>-0.3403290885841912</v>
      </c>
      <c r="K92" s="237">
        <v>1.25</v>
      </c>
      <c r="L92" s="242">
        <v>-1.0389999999999999</v>
      </c>
      <c r="M92" s="237">
        <v>1.25</v>
      </c>
      <c r="N92" s="237">
        <v>167.66</v>
      </c>
      <c r="O92" s="237">
        <v>1.0625</v>
      </c>
      <c r="P92" s="237">
        <v>0</v>
      </c>
      <c r="Q92" s="237">
        <v>0</v>
      </c>
      <c r="R92" s="237">
        <v>-18.149999999999999</v>
      </c>
      <c r="S92" s="237">
        <v>2</v>
      </c>
      <c r="T92" s="237">
        <v>0</v>
      </c>
      <c r="U92" s="237">
        <v>0</v>
      </c>
      <c r="V92" s="237">
        <v>-25.23</v>
      </c>
      <c r="W92" s="237">
        <v>3</v>
      </c>
      <c r="X92" s="237">
        <v>0</v>
      </c>
      <c r="Y92" s="237">
        <v>0</v>
      </c>
      <c r="Z92" s="237">
        <v>-19.8</v>
      </c>
      <c r="AA92" s="237">
        <v>3</v>
      </c>
      <c r="AB92" s="237">
        <v>0</v>
      </c>
      <c r="AC92" s="237">
        <v>0</v>
      </c>
      <c r="AD92" s="237">
        <v>0.79859999999999998</v>
      </c>
      <c r="AE92" s="237">
        <v>1.125</v>
      </c>
      <c r="AF92" s="237">
        <v>0</v>
      </c>
      <c r="AG92" s="237">
        <v>0</v>
      </c>
      <c r="AH92" s="242">
        <v>-5.6328831463824926E-2</v>
      </c>
      <c r="AI92" s="304">
        <v>2</v>
      </c>
      <c r="AJ92" s="237">
        <v>0</v>
      </c>
      <c r="AK92" s="237">
        <v>0</v>
      </c>
      <c r="AL92" s="303">
        <f t="shared" si="18"/>
        <v>24.060000000000002</v>
      </c>
      <c r="AM92" s="302" t="s">
        <v>695</v>
      </c>
    </row>
    <row r="93" spans="1:39">
      <c r="A93" s="237" t="s">
        <v>694</v>
      </c>
      <c r="B93" s="237">
        <v>25</v>
      </c>
      <c r="C93" s="237">
        <v>11.25</v>
      </c>
      <c r="D93" s="237">
        <v>0</v>
      </c>
      <c r="E93" s="237">
        <v>0</v>
      </c>
      <c r="F93" s="237">
        <v>80.7</v>
      </c>
      <c r="G93" s="237">
        <v>11.25</v>
      </c>
      <c r="H93" s="237">
        <v>0</v>
      </c>
      <c r="I93" s="237">
        <v>0</v>
      </c>
      <c r="J93" s="242"/>
      <c r="K93" s="237"/>
      <c r="L93" s="242">
        <v>0.54700000000000004</v>
      </c>
      <c r="M93" s="237">
        <v>5</v>
      </c>
      <c r="N93" s="237">
        <v>5.34</v>
      </c>
      <c r="O93" s="237">
        <v>3.1875</v>
      </c>
      <c r="P93" s="237">
        <v>0</v>
      </c>
      <c r="Q93" s="237">
        <v>0</v>
      </c>
      <c r="R93" s="237">
        <v>16.649999999999999</v>
      </c>
      <c r="S93" s="237">
        <v>8</v>
      </c>
      <c r="T93" s="237">
        <v>1</v>
      </c>
      <c r="U93" s="237">
        <v>2</v>
      </c>
      <c r="V93" s="237">
        <v>13.78</v>
      </c>
      <c r="W93" s="237">
        <v>12</v>
      </c>
      <c r="X93" s="237">
        <v>1</v>
      </c>
      <c r="Y93" s="237">
        <v>3</v>
      </c>
      <c r="Z93" s="237">
        <v>12.34</v>
      </c>
      <c r="AA93" s="237">
        <v>12</v>
      </c>
      <c r="AB93" s="237">
        <v>1</v>
      </c>
      <c r="AC93" s="237">
        <v>3</v>
      </c>
      <c r="AD93" s="237"/>
      <c r="AE93" s="237"/>
      <c r="AF93" s="237"/>
      <c r="AG93" s="237"/>
      <c r="AH93" s="242">
        <v>-0.53</v>
      </c>
      <c r="AI93" s="304"/>
      <c r="AJ93" s="237"/>
      <c r="AK93" s="237"/>
      <c r="AL93" s="303">
        <f t="shared" si="18"/>
        <v>70.6875</v>
      </c>
      <c r="AM93" s="302" t="s">
        <v>694</v>
      </c>
    </row>
  </sheetData>
  <mergeCells count="2">
    <mergeCell ref="A1:AJ2"/>
    <mergeCell ref="B77:J77"/>
  </mergeCells>
  <pageMargins left="0.75" right="0.75" top="1" bottom="1" header="0.5" footer="0.5"/>
  <pageSetup paperSize="9" orientation="portrait" horizontalDpi="4294967292" verticalDpi="429496729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N99"/>
  <sheetViews>
    <sheetView zoomScale="90" zoomScaleNormal="90" zoomScalePageLayoutView="90" workbookViewId="0">
      <selection activeCell="E6" sqref="E6"/>
    </sheetView>
  </sheetViews>
  <sheetFormatPr defaultColWidth="12.42578125" defaultRowHeight="15.75"/>
  <cols>
    <col min="1" max="1" width="40.7109375" style="250" bestFit="1" customWidth="1"/>
    <col min="2" max="2" width="15" style="250" bestFit="1" customWidth="1"/>
    <col min="3" max="4" width="12.42578125" style="250"/>
    <col min="5" max="5" width="13.140625" style="250" bestFit="1" customWidth="1"/>
    <col min="6" max="6" width="16.42578125" style="250" bestFit="1" customWidth="1"/>
    <col min="7" max="9" width="12.42578125" style="250"/>
    <col min="10" max="11" width="16.140625" style="250" bestFit="1" customWidth="1"/>
    <col min="12" max="14" width="12.42578125" style="250"/>
    <col min="15" max="15" width="22.42578125" style="250" bestFit="1" customWidth="1"/>
    <col min="16" max="17" width="12.42578125" style="250"/>
    <col min="18" max="18" width="15.5703125" style="250" bestFit="1" customWidth="1"/>
    <col min="19" max="21" width="12.42578125" style="250"/>
    <col min="22" max="22" width="14.7109375" style="250" bestFit="1" customWidth="1"/>
    <col min="23" max="25" width="12.42578125" style="250"/>
    <col min="26" max="26" width="16.140625" style="250" bestFit="1" customWidth="1"/>
    <col min="27" max="29" width="12.42578125" style="250"/>
    <col min="30" max="30" width="14.42578125" style="250" customWidth="1"/>
    <col min="31" max="31" width="21.28515625" style="250" bestFit="1" customWidth="1"/>
    <col min="32" max="33" width="12.42578125" style="250"/>
    <col min="34" max="34" width="11.28515625" style="250" bestFit="1" customWidth="1"/>
    <col min="35" max="37" width="12.42578125" style="250"/>
    <col min="38" max="38" width="24" style="250" bestFit="1" customWidth="1"/>
    <col min="39" max="40" width="40.7109375" style="250" bestFit="1" customWidth="1"/>
    <col min="41" max="41" width="41.140625" style="250" bestFit="1" customWidth="1"/>
    <col min="42" max="42" width="15.42578125" style="250" bestFit="1" customWidth="1"/>
    <col min="43" max="16384" width="12.42578125" style="250"/>
  </cols>
  <sheetData>
    <row r="1" spans="1:40">
      <c r="A1" s="533" t="s">
        <v>762</v>
      </c>
      <c r="B1" s="533"/>
      <c r="C1" s="533"/>
      <c r="D1" s="533"/>
      <c r="E1" s="533"/>
      <c r="F1" s="533"/>
      <c r="G1" s="533"/>
      <c r="H1" s="533"/>
      <c r="I1" s="533"/>
      <c r="J1" s="533"/>
      <c r="K1" s="533"/>
      <c r="L1" s="533"/>
      <c r="M1" s="533"/>
      <c r="N1" s="533"/>
      <c r="O1" s="533"/>
      <c r="P1" s="533"/>
      <c r="Q1" s="533"/>
      <c r="R1" s="533"/>
      <c r="S1" s="533"/>
      <c r="T1" s="533"/>
      <c r="U1" s="533"/>
      <c r="V1" s="533"/>
      <c r="W1" s="533"/>
      <c r="X1" s="533"/>
      <c r="Y1" s="533"/>
      <c r="Z1" s="533"/>
      <c r="AA1" s="533"/>
      <c r="AB1" s="533"/>
      <c r="AC1" s="533"/>
      <c r="AD1" s="533"/>
      <c r="AE1" s="533"/>
      <c r="AF1" s="533"/>
      <c r="AG1" s="533"/>
      <c r="AH1" s="533"/>
      <c r="AI1" s="533"/>
      <c r="AJ1" s="533"/>
      <c r="AK1" s="280"/>
      <c r="AL1" s="280"/>
      <c r="AM1" s="280"/>
      <c r="AN1" s="280"/>
    </row>
    <row r="2" spans="1:40">
      <c r="A2" s="533"/>
      <c r="B2" s="533"/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533"/>
      <c r="AB2" s="533"/>
      <c r="AC2" s="533"/>
      <c r="AD2" s="533"/>
      <c r="AE2" s="533"/>
      <c r="AF2" s="533"/>
      <c r="AG2" s="533"/>
      <c r="AH2" s="533"/>
      <c r="AI2" s="533"/>
      <c r="AJ2" s="533"/>
      <c r="AK2" s="280"/>
      <c r="AL2" s="280"/>
      <c r="AM2" s="280"/>
      <c r="AN2" s="280"/>
    </row>
    <row r="3" spans="1:40" ht="78.75">
      <c r="A3" s="279" t="s">
        <v>97</v>
      </c>
      <c r="B3" s="279" t="s">
        <v>96</v>
      </c>
      <c r="C3" s="296" t="s">
        <v>93</v>
      </c>
      <c r="D3" s="296" t="s">
        <v>95</v>
      </c>
      <c r="E3" s="296" t="s">
        <v>93</v>
      </c>
      <c r="F3" s="279" t="s">
        <v>94</v>
      </c>
      <c r="G3" s="296" t="s">
        <v>83</v>
      </c>
      <c r="H3" s="296" t="s">
        <v>84</v>
      </c>
      <c r="I3" s="296" t="s">
        <v>93</v>
      </c>
      <c r="J3" s="279" t="s">
        <v>92</v>
      </c>
      <c r="K3" s="296" t="s">
        <v>83</v>
      </c>
      <c r="L3" s="297" t="s">
        <v>91</v>
      </c>
      <c r="M3" s="296" t="s">
        <v>83</v>
      </c>
      <c r="N3" s="296" t="s">
        <v>90</v>
      </c>
      <c r="O3" s="296" t="s">
        <v>83</v>
      </c>
      <c r="P3" s="296" t="s">
        <v>84</v>
      </c>
      <c r="Q3" s="296" t="s">
        <v>83</v>
      </c>
      <c r="R3" s="296" t="s">
        <v>89</v>
      </c>
      <c r="S3" s="296" t="s">
        <v>83</v>
      </c>
      <c r="T3" s="296" t="s">
        <v>84</v>
      </c>
      <c r="U3" s="296" t="s">
        <v>83</v>
      </c>
      <c r="V3" s="296" t="s">
        <v>88</v>
      </c>
      <c r="W3" s="296" t="s">
        <v>83</v>
      </c>
      <c r="X3" s="296" t="s">
        <v>84</v>
      </c>
      <c r="Y3" s="296" t="s">
        <v>83</v>
      </c>
      <c r="Z3" s="296" t="s">
        <v>87</v>
      </c>
      <c r="AA3" s="296" t="s">
        <v>83</v>
      </c>
      <c r="AB3" s="296" t="s">
        <v>84</v>
      </c>
      <c r="AC3" s="296" t="s">
        <v>83</v>
      </c>
      <c r="AD3" s="296" t="s">
        <v>86</v>
      </c>
      <c r="AE3" s="296" t="s">
        <v>83</v>
      </c>
      <c r="AF3" s="296" t="s">
        <v>84</v>
      </c>
      <c r="AG3" s="296" t="s">
        <v>83</v>
      </c>
      <c r="AH3" s="296" t="s">
        <v>85</v>
      </c>
      <c r="AI3" s="296" t="s">
        <v>83</v>
      </c>
      <c r="AJ3" s="296" t="s">
        <v>84</v>
      </c>
      <c r="AK3" s="296" t="s">
        <v>93</v>
      </c>
      <c r="AL3" s="285" t="s">
        <v>761</v>
      </c>
      <c r="AM3" s="279" t="s">
        <v>97</v>
      </c>
      <c r="AN3" s="279" t="s">
        <v>760</v>
      </c>
    </row>
    <row r="4" spans="1:40">
      <c r="A4" s="279" t="s">
        <v>695</v>
      </c>
      <c r="B4" s="285">
        <v>149.69999999999999</v>
      </c>
      <c r="C4" s="251">
        <f t="shared" ref="C4:C13" si="0">IF(B4&gt;6.2,$B$20,IF(B4&lt;=-4.8,$B$17,IF(AND(B4&gt;-4.8,B4&lt;=1.1),$B$18,$B$19)))</f>
        <v>13.5</v>
      </c>
      <c r="D4" s="285">
        <v>1</v>
      </c>
      <c r="E4" s="285">
        <f t="shared" ref="E4:E13" si="1">IF(D4=0,"0",$H$17)</f>
        <v>1.5</v>
      </c>
      <c r="F4" s="285">
        <v>-856.3</v>
      </c>
      <c r="G4" s="285">
        <f t="shared" ref="G4:G13" si="2">IF(F4&gt;34.3,$B$26,IF(F4&lt;=0,$B$23,IF(AND(F4&gt;0,F4&lt;=6),$B$24,$B$25)))</f>
        <v>3.375</v>
      </c>
      <c r="H4" s="285">
        <v>0</v>
      </c>
      <c r="I4" s="285" t="str">
        <f t="shared" ref="I4:I13" si="3">IF(H4=0,"0",$H$24)</f>
        <v>0</v>
      </c>
      <c r="J4" s="271">
        <v>0.35510850986713272</v>
      </c>
      <c r="K4" s="251">
        <f t="shared" ref="K4:K13" si="4">IF(J4&gt;QUARTILE($J$4:$J$13,3),$B$33,IF(AND(J4&lt;=QUARTILE($J$4:$J$13,3),J4&gt;QUARTILE($J$4:$J$13,2)),$B$32,IF(AND(J4&lt;=QUARTILE($J$4:$J$13,2),J4&gt;QUARTILE($J$4:$J$13,1)),$B$31,$B$30)))</f>
        <v>5</v>
      </c>
      <c r="L4" s="271">
        <v>1.6657999999999999</v>
      </c>
      <c r="M4" s="251">
        <f t="shared" ref="M4:M13" si="5">IF(L4&gt;QUARTILE($L$4:$L$13,3),$B$39,IF(AND(L4&lt;=QUARTILE($L$4:$L$13,3),L4&gt;QUARTILE($L$4:$L$13,2)),$B$38,IF(AND(L4&lt;=QUARTILE($L$4:$L$14,2),L4&gt;QUARTILE($L$4:$L$13,1)),$B$37,$B$36)))</f>
        <v>5</v>
      </c>
      <c r="N4" s="285">
        <v>117.83</v>
      </c>
      <c r="O4" s="251">
        <f t="shared" ref="O4:O13" si="6">IF(N4&gt;QUARTILE($N$4:$N$13,3),$B$45,IF(AND(N4&lt;=QUARTILE($N$4:$N$13,3),N4&gt;QUARTILE($N$4:$N$13,2)),$B$44,IF(AND(N4&lt;=QUARTILE($N$4:$N$13,2),N4&gt;QUARTILE($N$4:$N$13,1)),$B$43,$B$42)))</f>
        <v>2.25</v>
      </c>
      <c r="P4" s="285">
        <v>0</v>
      </c>
      <c r="Q4" s="285" t="str">
        <f t="shared" ref="Q4:Q13" si="7">IF(P4=0,"0",$H$42)</f>
        <v>0</v>
      </c>
      <c r="R4" s="285">
        <v>49.53</v>
      </c>
      <c r="S4" s="251">
        <f t="shared" ref="S4:S13" si="8">IF(R4&gt;14.22,$B$51,IF(R4&lt;=-3.38,$B$48,IF(AND(R4&gt;-3.38,R4&lt;=5.46),$B$49,$B$50)))</f>
        <v>9</v>
      </c>
      <c r="T4" s="285">
        <v>1</v>
      </c>
      <c r="U4" s="285">
        <f t="shared" ref="U4:U13" si="9">IF(T4=0,"0",$H$48)</f>
        <v>1</v>
      </c>
      <c r="V4" s="285">
        <v>48.82</v>
      </c>
      <c r="W4" s="251">
        <f t="shared" ref="W4:W13" si="10">IF(V4&gt;7.92,$B$57,IF(V4&lt;=-8.43,$B$54,IF(AND(V4&gt;-8.43,V4&lt;=2.12),$B$55,$B$56)))</f>
        <v>13.5</v>
      </c>
      <c r="X4" s="285">
        <v>1</v>
      </c>
      <c r="Y4" s="285">
        <f t="shared" ref="Y4:Y13" si="11">IF(X4=0,"0",$H$54)</f>
        <v>1.5</v>
      </c>
      <c r="Z4" s="285">
        <v>47.36</v>
      </c>
      <c r="AA4" s="285">
        <f t="shared" ref="AA4:AA13" si="12">IF(Z4&gt;4.91,$B$63,IF(Z4&lt;=-10.59,$B$60,IF(AND(Z4&gt;-10.59,Z4&lt;=0.77),$B$61,$B$62)))</f>
        <v>13.5</v>
      </c>
      <c r="AB4" s="285">
        <v>1</v>
      </c>
      <c r="AC4" s="285">
        <f t="shared" ref="AC4:AC13" si="13">IF(AB4=0,"0",$H$60)</f>
        <v>1.5</v>
      </c>
      <c r="AD4" s="307">
        <v>1.6402000000000001</v>
      </c>
      <c r="AE4" s="251">
        <f t="shared" ref="AE4:AE13" si="14">IF(AD4&gt;QUARTILE($AD$4:$AD$13,3),$B$69,IF(AND(AD4&lt;=QUARTILE($AD$4:$AD$13,3),AD4&gt;QUARTILE($AD$4:$AD$13,2)),$B$68,IF(AND(AD4&lt;=QUARTILE($AD$4:$AD$13,2),AD4&gt;QUARTILE($AD$4:$AD$13,1)),$B$67,$B$66)))</f>
        <v>4.5</v>
      </c>
      <c r="AF4" s="307">
        <v>1</v>
      </c>
      <c r="AG4" s="307">
        <f t="shared" ref="AG4:AG13" si="15">IF(AF4=0,"0",$H$66)</f>
        <v>0.5</v>
      </c>
      <c r="AH4" s="271">
        <v>3.2233700855530714</v>
      </c>
      <c r="AI4" s="251">
        <f>IF(AH4&gt;QUARTILE($AH$4:$AH$13,3),$B$75,IF(AND(AH4&lt;=QUARTILE($AH$4:$AH$13,3),AH4&gt;QUARTILE($AH$4:$AH$13,2)),$B$74,IF(AND(AH4&lt;=QUARTILE(AH4:$AH$13,2),AH4&gt;QUARTILE($AH$4:$AH$13,1)),$B$73,$B$72)))</f>
        <v>9</v>
      </c>
      <c r="AJ4" s="285">
        <v>1</v>
      </c>
      <c r="AK4" s="285">
        <f t="shared" ref="AK4:AK13" si="16">IF(AJ4=0,"0",$H$72)</f>
        <v>1</v>
      </c>
      <c r="AL4" s="285">
        <f t="shared" ref="AL4:AL13" si="17">C4+E4+G4+I4+K4+M4+O4+Q4+S4+U4+W4+Y4+AA4+AC4+AE4+AG4+AI4+AK4</f>
        <v>85.625</v>
      </c>
      <c r="AM4" s="279" t="s">
        <v>695</v>
      </c>
      <c r="AN4" s="283">
        <v>1192513300</v>
      </c>
    </row>
    <row r="5" spans="1:40" s="236" customFormat="1">
      <c r="A5" s="279" t="s">
        <v>734</v>
      </c>
      <c r="B5" s="285">
        <v>39.9</v>
      </c>
      <c r="C5" s="251">
        <f t="shared" si="0"/>
        <v>13.5</v>
      </c>
      <c r="D5" s="285">
        <v>1</v>
      </c>
      <c r="E5" s="285">
        <f t="shared" si="1"/>
        <v>1.5</v>
      </c>
      <c r="F5" s="285">
        <v>125.4</v>
      </c>
      <c r="G5" s="285">
        <f t="shared" si="2"/>
        <v>13.5</v>
      </c>
      <c r="H5" s="285">
        <v>1</v>
      </c>
      <c r="I5" s="285">
        <f t="shared" si="3"/>
        <v>1.5</v>
      </c>
      <c r="J5" s="271">
        <v>0.21311488424996461</v>
      </c>
      <c r="K5" s="251">
        <f t="shared" si="4"/>
        <v>3.75</v>
      </c>
      <c r="L5" s="271">
        <v>0.69650000000000001</v>
      </c>
      <c r="M5" s="251">
        <f t="shared" si="5"/>
        <v>3.75</v>
      </c>
      <c r="N5" s="285">
        <v>116.31</v>
      </c>
      <c r="O5" s="251">
        <f t="shared" si="6"/>
        <v>2.25</v>
      </c>
      <c r="P5" s="285">
        <v>1</v>
      </c>
      <c r="Q5" s="285">
        <f t="shared" si="7"/>
        <v>0.5</v>
      </c>
      <c r="R5" s="285">
        <v>44.06</v>
      </c>
      <c r="S5" s="251">
        <f t="shared" si="8"/>
        <v>9</v>
      </c>
      <c r="T5" s="285">
        <v>1</v>
      </c>
      <c r="U5" s="285">
        <f t="shared" si="9"/>
        <v>1</v>
      </c>
      <c r="V5" s="285">
        <v>36.14</v>
      </c>
      <c r="W5" s="251">
        <f t="shared" si="10"/>
        <v>13.5</v>
      </c>
      <c r="X5" s="285">
        <v>1</v>
      </c>
      <c r="Y5" s="285">
        <f t="shared" si="11"/>
        <v>1.5</v>
      </c>
      <c r="Z5" s="285">
        <v>35.57</v>
      </c>
      <c r="AA5" s="285">
        <f t="shared" si="12"/>
        <v>13.5</v>
      </c>
      <c r="AB5" s="285">
        <v>1</v>
      </c>
      <c r="AC5" s="285">
        <f t="shared" si="13"/>
        <v>1.5</v>
      </c>
      <c r="AD5" s="285">
        <v>1.5659000000000001</v>
      </c>
      <c r="AE5" s="251">
        <f t="shared" si="14"/>
        <v>4.5</v>
      </c>
      <c r="AF5" s="285">
        <v>1</v>
      </c>
      <c r="AG5" s="307">
        <f t="shared" si="15"/>
        <v>0.5</v>
      </c>
      <c r="AH5" s="271">
        <v>0.87927770600731214</v>
      </c>
      <c r="AI5" s="251">
        <f>IF(AH5&gt;QUARTILE($AH$4:$AH$13,3),$B$75,IF(AND(AH5&lt;=QUARTILE($AH$4:$AH$13,3),AH5&gt;QUARTILE($AH$4:$AH$13,2)),$B$74,IF(AND(AH5&lt;=QUARTILE(AH5:$AH$13,2),AH5&gt;QUARTILE($AH$4:$AH$13,1)),$B$73,$B$72)))</f>
        <v>9</v>
      </c>
      <c r="AJ5" s="285">
        <v>1</v>
      </c>
      <c r="AK5" s="285">
        <f t="shared" si="16"/>
        <v>1</v>
      </c>
      <c r="AL5" s="285">
        <f t="shared" si="17"/>
        <v>95.25</v>
      </c>
      <c r="AM5" s="279" t="s">
        <v>734</v>
      </c>
      <c r="AN5" s="283">
        <v>487734400</v>
      </c>
    </row>
    <row r="6" spans="1:40">
      <c r="A6" s="279" t="s">
        <v>732</v>
      </c>
      <c r="B6" s="285">
        <v>12.6</v>
      </c>
      <c r="C6" s="251">
        <f t="shared" si="0"/>
        <v>13.5</v>
      </c>
      <c r="D6" s="285">
        <v>1</v>
      </c>
      <c r="E6" s="285">
        <f t="shared" si="1"/>
        <v>1.5</v>
      </c>
      <c r="F6" s="285">
        <v>21.2</v>
      </c>
      <c r="G6" s="285">
        <f t="shared" si="2"/>
        <v>10.125</v>
      </c>
      <c r="H6" s="285">
        <v>1</v>
      </c>
      <c r="I6" s="285">
        <f t="shared" si="3"/>
        <v>1.5</v>
      </c>
      <c r="J6" s="271">
        <v>0.23584556704210913</v>
      </c>
      <c r="K6" s="251">
        <f t="shared" si="4"/>
        <v>5</v>
      </c>
      <c r="L6" s="271">
        <v>0.56379999999999997</v>
      </c>
      <c r="M6" s="251">
        <f t="shared" si="5"/>
        <v>2.5</v>
      </c>
      <c r="N6" s="285">
        <v>11.98</v>
      </c>
      <c r="O6" s="251">
        <f t="shared" si="6"/>
        <v>4.5</v>
      </c>
      <c r="P6" s="285">
        <v>1</v>
      </c>
      <c r="Q6" s="285">
        <f t="shared" si="7"/>
        <v>0.5</v>
      </c>
      <c r="R6" s="285">
        <v>8.98</v>
      </c>
      <c r="S6" s="251">
        <f t="shared" si="8"/>
        <v>6.75</v>
      </c>
      <c r="T6" s="285">
        <v>0</v>
      </c>
      <c r="U6" s="285" t="str">
        <f t="shared" si="9"/>
        <v>0</v>
      </c>
      <c r="V6" s="285">
        <v>6.36</v>
      </c>
      <c r="W6" s="251">
        <f t="shared" si="10"/>
        <v>10.125</v>
      </c>
      <c r="X6" s="285">
        <v>0</v>
      </c>
      <c r="Y6" s="285" t="str">
        <f t="shared" si="11"/>
        <v>0</v>
      </c>
      <c r="Z6" s="285">
        <v>6.15</v>
      </c>
      <c r="AA6" s="285">
        <f t="shared" si="12"/>
        <v>13.5</v>
      </c>
      <c r="AB6" s="285">
        <v>1</v>
      </c>
      <c r="AC6" s="285">
        <f t="shared" si="13"/>
        <v>1.5</v>
      </c>
      <c r="AD6" s="285">
        <v>1.0679000000000001</v>
      </c>
      <c r="AE6" s="251">
        <f t="shared" si="14"/>
        <v>1.125</v>
      </c>
      <c r="AF6" s="285">
        <v>0</v>
      </c>
      <c r="AG6" s="307" t="str">
        <f t="shared" si="15"/>
        <v>0</v>
      </c>
      <c r="AH6" s="271">
        <v>0.18722740622650322</v>
      </c>
      <c r="AI6" s="251">
        <f>IF(AH6&gt;QUARTILE($AH$4:$AH$13,3),$B$75,IF(AND(AH6&lt;=QUARTILE($AH$4:$AH$13,3),AH6&gt;QUARTILE($AH$4:$AH$13,2)),$B$74,IF(AND(AH6&lt;=QUARTILE(AH6:$AH$13,2),AH6&gt;QUARTILE($AH$4:$AH$13,1)),$B$73,$B$72)))</f>
        <v>6.75</v>
      </c>
      <c r="AJ6" s="285">
        <v>1</v>
      </c>
      <c r="AK6" s="285">
        <f t="shared" si="16"/>
        <v>1</v>
      </c>
      <c r="AL6" s="285">
        <f t="shared" si="17"/>
        <v>79.875</v>
      </c>
      <c r="AM6" s="279" t="s">
        <v>732</v>
      </c>
      <c r="AN6" s="283">
        <v>487267600</v>
      </c>
    </row>
    <row r="7" spans="1:40">
      <c r="A7" s="279" t="s">
        <v>733</v>
      </c>
      <c r="B7" s="285">
        <v>8</v>
      </c>
      <c r="C7" s="251">
        <f t="shared" si="0"/>
        <v>13.5</v>
      </c>
      <c r="D7" s="285">
        <v>1</v>
      </c>
      <c r="E7" s="285">
        <f t="shared" si="1"/>
        <v>1.5</v>
      </c>
      <c r="F7" s="285">
        <v>21</v>
      </c>
      <c r="G7" s="285">
        <f t="shared" si="2"/>
        <v>10.125</v>
      </c>
      <c r="H7" s="285">
        <v>1</v>
      </c>
      <c r="I7" s="285">
        <f t="shared" si="3"/>
        <v>1.5</v>
      </c>
      <c r="J7" s="271">
        <v>-5.5002609691187865E-2</v>
      </c>
      <c r="K7" s="251">
        <f t="shared" si="4"/>
        <v>1.25</v>
      </c>
      <c r="L7" s="271">
        <v>1.5913999999999999</v>
      </c>
      <c r="M7" s="251">
        <f t="shared" si="5"/>
        <v>3.75</v>
      </c>
      <c r="N7" s="285">
        <v>4.47</v>
      </c>
      <c r="O7" s="251">
        <f t="shared" si="6"/>
        <v>4.5</v>
      </c>
      <c r="P7" s="285">
        <v>1</v>
      </c>
      <c r="Q7" s="285">
        <f t="shared" si="7"/>
        <v>0.5</v>
      </c>
      <c r="R7" s="285">
        <v>11.81</v>
      </c>
      <c r="S7" s="251">
        <f t="shared" si="8"/>
        <v>6.75</v>
      </c>
      <c r="T7" s="285">
        <v>1</v>
      </c>
      <c r="U7" s="285">
        <f t="shared" si="9"/>
        <v>1</v>
      </c>
      <c r="V7" s="285">
        <v>7.83</v>
      </c>
      <c r="W7" s="251">
        <f t="shared" si="10"/>
        <v>10.125</v>
      </c>
      <c r="X7" s="285">
        <v>1</v>
      </c>
      <c r="Y7" s="285">
        <f t="shared" si="11"/>
        <v>1.5</v>
      </c>
      <c r="Z7" s="285">
        <v>6.26</v>
      </c>
      <c r="AA7" s="285">
        <f t="shared" si="12"/>
        <v>13.5</v>
      </c>
      <c r="AB7" s="285">
        <v>1</v>
      </c>
      <c r="AC7" s="285">
        <f t="shared" si="13"/>
        <v>1.5</v>
      </c>
      <c r="AD7" s="285">
        <v>1.0849</v>
      </c>
      <c r="AE7" s="251">
        <f t="shared" si="14"/>
        <v>2.25</v>
      </c>
      <c r="AF7" s="285">
        <v>1</v>
      </c>
      <c r="AG7" s="307">
        <f t="shared" si="15"/>
        <v>0.5</v>
      </c>
      <c r="AH7" s="271">
        <v>0.15270801375589016</v>
      </c>
      <c r="AI7" s="251">
        <f>IF(AH7&gt;QUARTILE($AH$4:$AH$13,3),$B$75,IF(AND(AH7&lt;=QUARTILE($AH$4:$AH$13,3),AH7&gt;QUARTILE($AH$4:$AH$13,2)),$B$74,IF(AND(AH7&lt;=QUARTILE(AH7:$AH$13,2),AH7&gt;QUARTILE($AH$4:$AH$13,1)),$B$73,$B$72)))</f>
        <v>2.25</v>
      </c>
      <c r="AJ7" s="285">
        <v>1</v>
      </c>
      <c r="AK7" s="285">
        <f t="shared" si="16"/>
        <v>1</v>
      </c>
      <c r="AL7" s="285">
        <f t="shared" si="17"/>
        <v>77</v>
      </c>
      <c r="AM7" s="279" t="s">
        <v>733</v>
      </c>
      <c r="AN7" s="283">
        <v>388302100</v>
      </c>
    </row>
    <row r="8" spans="1:40">
      <c r="A8" s="279" t="s">
        <v>731</v>
      </c>
      <c r="B8" s="285">
        <v>14.5</v>
      </c>
      <c r="C8" s="251">
        <f t="shared" si="0"/>
        <v>13.5</v>
      </c>
      <c r="D8" s="285">
        <v>0</v>
      </c>
      <c r="E8" s="285" t="str">
        <f t="shared" si="1"/>
        <v>0</v>
      </c>
      <c r="F8" s="285">
        <v>24.5</v>
      </c>
      <c r="G8" s="285">
        <f t="shared" si="2"/>
        <v>10.125</v>
      </c>
      <c r="H8" s="285">
        <v>0</v>
      </c>
      <c r="I8" s="285" t="str">
        <f t="shared" si="3"/>
        <v>0</v>
      </c>
      <c r="J8" s="271">
        <v>9.4275078843598203E-2</v>
      </c>
      <c r="K8" s="251">
        <f t="shared" si="4"/>
        <v>3.75</v>
      </c>
      <c r="L8" s="271">
        <v>0.33750000000000002</v>
      </c>
      <c r="M8" s="251">
        <f t="shared" si="5"/>
        <v>2.5</v>
      </c>
      <c r="N8" s="285">
        <v>199.14</v>
      </c>
      <c r="O8" s="251">
        <f t="shared" si="6"/>
        <v>1.125</v>
      </c>
      <c r="P8" s="285">
        <v>1</v>
      </c>
      <c r="Q8" s="285">
        <f t="shared" si="7"/>
        <v>0.5</v>
      </c>
      <c r="R8" s="285">
        <v>35.24</v>
      </c>
      <c r="S8" s="251">
        <f t="shared" si="8"/>
        <v>9</v>
      </c>
      <c r="T8" s="285">
        <v>1</v>
      </c>
      <c r="U8" s="285">
        <f t="shared" si="9"/>
        <v>1</v>
      </c>
      <c r="V8" s="285">
        <v>30.59</v>
      </c>
      <c r="W8" s="251">
        <f t="shared" si="10"/>
        <v>13.5</v>
      </c>
      <c r="X8" s="285">
        <v>1</v>
      </c>
      <c r="Y8" s="285">
        <f t="shared" si="11"/>
        <v>1.5</v>
      </c>
      <c r="Z8" s="285">
        <v>30.14</v>
      </c>
      <c r="AA8" s="285">
        <f t="shared" si="12"/>
        <v>13.5</v>
      </c>
      <c r="AB8" s="285">
        <v>1</v>
      </c>
      <c r="AC8" s="285">
        <f t="shared" si="13"/>
        <v>1.5</v>
      </c>
      <c r="AD8" s="285">
        <v>1.4407000000000001</v>
      </c>
      <c r="AE8" s="251">
        <f t="shared" si="14"/>
        <v>4.5</v>
      </c>
      <c r="AF8" s="285">
        <v>1</v>
      </c>
      <c r="AG8" s="307">
        <f t="shared" si="15"/>
        <v>0.5</v>
      </c>
      <c r="AH8" s="271">
        <v>0.16383622717331595</v>
      </c>
      <c r="AI8" s="251">
        <f>IF(AH8&gt;QUARTILE($AH$4:$AH$13,3),$B$75,IF(AND(AH8&lt;=QUARTILE($AH$4:$AH$13,3),AH8&gt;QUARTILE($AH$4:$AH$13,2)),$B$74,IF(AND(AH8&lt;=QUARTILE(AH8:$AH$13,2),AH8&gt;QUARTILE($AH$4:$AH$13,1)),$B$73,$B$72)))</f>
        <v>4.5</v>
      </c>
      <c r="AJ8" s="285">
        <v>0</v>
      </c>
      <c r="AK8" s="285" t="str">
        <f t="shared" si="16"/>
        <v>0</v>
      </c>
      <c r="AL8" s="285">
        <f t="shared" si="17"/>
        <v>81</v>
      </c>
      <c r="AM8" s="279" t="s">
        <v>731</v>
      </c>
      <c r="AN8" s="283">
        <v>371158300</v>
      </c>
    </row>
    <row r="9" spans="1:40">
      <c r="A9" s="279" t="s">
        <v>728</v>
      </c>
      <c r="B9" s="285">
        <v>4.2</v>
      </c>
      <c r="C9" s="251">
        <f t="shared" si="0"/>
        <v>10.125</v>
      </c>
      <c r="D9" s="285">
        <v>1</v>
      </c>
      <c r="E9" s="285">
        <f t="shared" si="1"/>
        <v>1.5</v>
      </c>
      <c r="F9" s="285">
        <v>5.4</v>
      </c>
      <c r="G9" s="285">
        <f t="shared" si="2"/>
        <v>6.75</v>
      </c>
      <c r="H9" s="285">
        <v>1</v>
      </c>
      <c r="I9" s="285">
        <f t="shared" si="3"/>
        <v>1.5</v>
      </c>
      <c r="J9" s="271">
        <v>0.41592125699441862</v>
      </c>
      <c r="K9" s="251">
        <f t="shared" si="4"/>
        <v>5</v>
      </c>
      <c r="L9" s="271">
        <v>2.7307999999999999</v>
      </c>
      <c r="M9" s="251">
        <f t="shared" si="5"/>
        <v>5</v>
      </c>
      <c r="N9" s="285">
        <v>161.06</v>
      </c>
      <c r="O9" s="251">
        <f t="shared" si="6"/>
        <v>1.125</v>
      </c>
      <c r="P9" s="285">
        <v>1</v>
      </c>
      <c r="Q9" s="285">
        <f t="shared" si="7"/>
        <v>0.5</v>
      </c>
      <c r="R9" s="285">
        <v>5.89</v>
      </c>
      <c r="S9" s="251">
        <f t="shared" si="8"/>
        <v>6.75</v>
      </c>
      <c r="T9" s="285">
        <v>1</v>
      </c>
      <c r="U9" s="285">
        <f t="shared" si="9"/>
        <v>1</v>
      </c>
      <c r="V9" s="285">
        <v>3.94</v>
      </c>
      <c r="W9" s="251">
        <f t="shared" si="10"/>
        <v>10.125</v>
      </c>
      <c r="X9" s="285">
        <v>1</v>
      </c>
      <c r="Y9" s="285">
        <f t="shared" si="11"/>
        <v>1.5</v>
      </c>
      <c r="Z9" s="285">
        <v>3.37</v>
      </c>
      <c r="AA9" s="285">
        <f t="shared" si="12"/>
        <v>10.125</v>
      </c>
      <c r="AB9" s="285">
        <v>1</v>
      </c>
      <c r="AC9" s="285">
        <f t="shared" si="13"/>
        <v>1.5</v>
      </c>
      <c r="AD9" s="307">
        <v>1.0409999999999999</v>
      </c>
      <c r="AE9" s="251">
        <f t="shared" si="14"/>
        <v>1.125</v>
      </c>
      <c r="AF9" s="307">
        <v>1</v>
      </c>
      <c r="AG9" s="307">
        <f t="shared" si="15"/>
        <v>0.5</v>
      </c>
      <c r="AH9" s="271">
        <v>5.1164174301053994E-2</v>
      </c>
      <c r="AI9" s="251">
        <f>IF(AH9&gt;QUARTILE($AH$4:$AH$13,3),$B$75,IF(AND(AH9&lt;=QUARTILE($AH$4:$AH$13,3),AH9&gt;QUARTILE($AH$4:$AH$13,2)),$B$74,IF(AND(AH9&lt;=QUARTILE(AH9:$AH$13,2),AH9&gt;QUARTILE($AH$4:$AH$13,1)),$B$73,$B$72)))</f>
        <v>2.25</v>
      </c>
      <c r="AJ9" s="285">
        <v>1</v>
      </c>
      <c r="AK9" s="285">
        <f t="shared" si="16"/>
        <v>1</v>
      </c>
      <c r="AL9" s="285">
        <f t="shared" si="17"/>
        <v>67.375</v>
      </c>
      <c r="AM9" s="279" t="s">
        <v>728</v>
      </c>
      <c r="AN9" s="283">
        <v>348012200</v>
      </c>
    </row>
    <row r="10" spans="1:40">
      <c r="A10" s="279" t="s">
        <v>729</v>
      </c>
      <c r="B10" s="285">
        <v>21.1</v>
      </c>
      <c r="C10" s="251">
        <f t="shared" si="0"/>
        <v>13.5</v>
      </c>
      <c r="D10" s="285">
        <v>1</v>
      </c>
      <c r="E10" s="285">
        <f t="shared" si="1"/>
        <v>1.5</v>
      </c>
      <c r="F10" s="285">
        <v>40.4</v>
      </c>
      <c r="G10" s="285">
        <f t="shared" si="2"/>
        <v>13.5</v>
      </c>
      <c r="H10" s="285">
        <v>1</v>
      </c>
      <c r="I10" s="285">
        <f t="shared" si="3"/>
        <v>1.5</v>
      </c>
      <c r="J10" s="271">
        <v>-2.0907854902712963E-2</v>
      </c>
      <c r="K10" s="251">
        <f t="shared" si="4"/>
        <v>1.25</v>
      </c>
      <c r="L10" s="271">
        <v>12.5138</v>
      </c>
      <c r="M10" s="251">
        <f t="shared" si="5"/>
        <v>5</v>
      </c>
      <c r="N10" s="285">
        <v>51.95</v>
      </c>
      <c r="O10" s="251">
        <f t="shared" si="6"/>
        <v>4.5</v>
      </c>
      <c r="P10" s="285">
        <v>0</v>
      </c>
      <c r="Q10" s="285" t="str">
        <f t="shared" si="7"/>
        <v>0</v>
      </c>
      <c r="R10" s="285">
        <v>19.59</v>
      </c>
      <c r="S10" s="251">
        <f t="shared" si="8"/>
        <v>9</v>
      </c>
      <c r="T10" s="285">
        <v>1</v>
      </c>
      <c r="U10" s="285">
        <f t="shared" si="9"/>
        <v>1</v>
      </c>
      <c r="V10" s="285">
        <v>17.39</v>
      </c>
      <c r="W10" s="251">
        <f t="shared" si="10"/>
        <v>13.5</v>
      </c>
      <c r="X10" s="285">
        <v>1</v>
      </c>
      <c r="Y10" s="285">
        <f t="shared" si="11"/>
        <v>1.5</v>
      </c>
      <c r="Z10" s="285">
        <v>16.440000000000001</v>
      </c>
      <c r="AA10" s="285">
        <f t="shared" si="12"/>
        <v>13.5</v>
      </c>
      <c r="AB10" s="285">
        <v>1</v>
      </c>
      <c r="AC10" s="285">
        <f t="shared" si="13"/>
        <v>1.5</v>
      </c>
      <c r="AD10" s="285">
        <v>1.2104999999999999</v>
      </c>
      <c r="AE10" s="251">
        <f t="shared" si="14"/>
        <v>3.375</v>
      </c>
      <c r="AF10" s="285">
        <v>1</v>
      </c>
      <c r="AG10" s="307">
        <f t="shared" si="15"/>
        <v>0.5</v>
      </c>
      <c r="AH10" s="271">
        <v>0.27052413385232327</v>
      </c>
      <c r="AI10" s="251">
        <f>IF(AH10&gt;QUARTILE($AH$4:$AH$13,3),$B$75,IF(AND(AH10&lt;=QUARTILE($AH$4:$AH$13,3),AH10&gt;QUARTILE($AH$4:$AH$13,2)),$B$74,IF(AND(AH10&lt;=QUARTILE(AH10:$AH$13,2),AH10&gt;QUARTILE($AH$4:$AH$13,1)),$B$73,$B$72)))</f>
        <v>6.75</v>
      </c>
      <c r="AJ10" s="285">
        <v>1</v>
      </c>
      <c r="AK10" s="285">
        <f t="shared" si="16"/>
        <v>1</v>
      </c>
      <c r="AL10" s="285">
        <f t="shared" si="17"/>
        <v>92.375</v>
      </c>
      <c r="AM10" s="279" t="s">
        <v>729</v>
      </c>
      <c r="AN10" s="283">
        <v>324482400</v>
      </c>
    </row>
    <row r="11" spans="1:40">
      <c r="A11" s="279" t="s">
        <v>730</v>
      </c>
      <c r="B11" s="285">
        <v>20.3</v>
      </c>
      <c r="C11" s="251">
        <f t="shared" si="0"/>
        <v>13.5</v>
      </c>
      <c r="D11" s="285">
        <v>0</v>
      </c>
      <c r="E11" s="285" t="str">
        <f t="shared" si="1"/>
        <v>0</v>
      </c>
      <c r="F11" s="285">
        <v>29.7</v>
      </c>
      <c r="G11" s="285">
        <f t="shared" si="2"/>
        <v>10.125</v>
      </c>
      <c r="H11" s="285">
        <v>0</v>
      </c>
      <c r="I11" s="285" t="str">
        <f t="shared" si="3"/>
        <v>0</v>
      </c>
      <c r="J11" s="271">
        <v>8.5166577374598207E-2</v>
      </c>
      <c r="K11" s="251">
        <f t="shared" si="4"/>
        <v>2.5</v>
      </c>
      <c r="L11" s="271">
        <v>-0.36199999999999999</v>
      </c>
      <c r="M11" s="251">
        <f t="shared" si="5"/>
        <v>1.25</v>
      </c>
      <c r="N11" s="285">
        <v>56.78</v>
      </c>
      <c r="O11" s="251">
        <f t="shared" si="6"/>
        <v>3.375</v>
      </c>
      <c r="P11" s="285">
        <v>1</v>
      </c>
      <c r="Q11" s="285">
        <f t="shared" si="7"/>
        <v>0.5</v>
      </c>
      <c r="R11" s="285">
        <v>25.78</v>
      </c>
      <c r="S11" s="251">
        <f t="shared" si="8"/>
        <v>9</v>
      </c>
      <c r="T11" s="285">
        <v>0</v>
      </c>
      <c r="U11" s="285" t="str">
        <f t="shared" si="9"/>
        <v>0</v>
      </c>
      <c r="V11" s="285">
        <v>17.850000000000001</v>
      </c>
      <c r="W11" s="251">
        <f t="shared" si="10"/>
        <v>13.5</v>
      </c>
      <c r="X11" s="285">
        <v>0</v>
      </c>
      <c r="Y11" s="285" t="str">
        <f t="shared" si="11"/>
        <v>0</v>
      </c>
      <c r="Z11" s="285">
        <v>14.29</v>
      </c>
      <c r="AA11" s="285">
        <f t="shared" si="12"/>
        <v>13.5</v>
      </c>
      <c r="AB11" s="285">
        <v>0</v>
      </c>
      <c r="AC11" s="285" t="str">
        <f t="shared" si="13"/>
        <v>0</v>
      </c>
      <c r="AD11" s="285">
        <v>1.2173</v>
      </c>
      <c r="AE11" s="251">
        <f t="shared" si="14"/>
        <v>3.375</v>
      </c>
      <c r="AF11" s="285">
        <v>0</v>
      </c>
      <c r="AG11" s="307" t="str">
        <f t="shared" si="15"/>
        <v>0</v>
      </c>
      <c r="AH11" s="271">
        <v>0.28897625689681677</v>
      </c>
      <c r="AI11" s="251">
        <f>IF(AH11&gt;QUARTILE($AH$4:$AH$13,3),$B$75,IF(AND(AH11&lt;=QUARTILE($AH$4:$AH$13,3),AH11&gt;QUARTILE($AH$4:$AH$13,2)),$B$74,IF(AND(AH11&lt;=QUARTILE(AH11:$AH$13,2),AH11&gt;QUARTILE($AH$4:$AH$13,1)),$B$73,$B$72)))</f>
        <v>9</v>
      </c>
      <c r="AJ11" s="285">
        <v>0</v>
      </c>
      <c r="AK11" s="285" t="str">
        <f t="shared" si="16"/>
        <v>0</v>
      </c>
      <c r="AL11" s="285">
        <f t="shared" si="17"/>
        <v>79.625</v>
      </c>
      <c r="AM11" s="279" t="s">
        <v>730</v>
      </c>
      <c r="AN11" s="283">
        <v>303120700</v>
      </c>
    </row>
    <row r="12" spans="1:40">
      <c r="A12" s="279" t="s">
        <v>702</v>
      </c>
      <c r="B12" s="285">
        <v>14.4</v>
      </c>
      <c r="C12" s="251">
        <f t="shared" si="0"/>
        <v>13.5</v>
      </c>
      <c r="D12" s="285">
        <v>0</v>
      </c>
      <c r="E12" s="285" t="str">
        <f t="shared" si="1"/>
        <v>0</v>
      </c>
      <c r="F12" s="285">
        <v>21.1</v>
      </c>
      <c r="G12" s="285">
        <f t="shared" si="2"/>
        <v>10.125</v>
      </c>
      <c r="H12" s="285">
        <v>0</v>
      </c>
      <c r="I12" s="285" t="str">
        <f t="shared" si="3"/>
        <v>0</v>
      </c>
      <c r="J12" s="271">
        <v>8.6719739964539189E-2</v>
      </c>
      <c r="K12" s="251">
        <f t="shared" si="4"/>
        <v>2.5</v>
      </c>
      <c r="L12" s="271">
        <v>5.7000000000000002E-2</v>
      </c>
      <c r="M12" s="251">
        <f t="shared" si="5"/>
        <v>1.25</v>
      </c>
      <c r="N12" s="285">
        <v>92.39</v>
      </c>
      <c r="O12" s="251">
        <f t="shared" si="6"/>
        <v>3.375</v>
      </c>
      <c r="P12" s="285">
        <v>0</v>
      </c>
      <c r="Q12" s="285" t="str">
        <f t="shared" si="7"/>
        <v>0</v>
      </c>
      <c r="R12" s="285">
        <v>17.260000000000002</v>
      </c>
      <c r="S12" s="251">
        <f t="shared" si="8"/>
        <v>9</v>
      </c>
      <c r="T12" s="285">
        <v>1</v>
      </c>
      <c r="U12" s="285">
        <f t="shared" si="9"/>
        <v>1</v>
      </c>
      <c r="V12" s="285">
        <v>12.56</v>
      </c>
      <c r="W12" s="251">
        <f t="shared" si="10"/>
        <v>13.5</v>
      </c>
      <c r="X12" s="285">
        <v>1</v>
      </c>
      <c r="Y12" s="285">
        <f t="shared" si="11"/>
        <v>1.5</v>
      </c>
      <c r="Z12" s="285">
        <v>11.91</v>
      </c>
      <c r="AA12" s="285">
        <f t="shared" si="12"/>
        <v>13.5</v>
      </c>
      <c r="AB12" s="285">
        <v>1</v>
      </c>
      <c r="AC12" s="285">
        <f t="shared" si="13"/>
        <v>1.5</v>
      </c>
      <c r="AD12" s="307">
        <v>1.1436999999999999</v>
      </c>
      <c r="AE12" s="251">
        <f t="shared" si="14"/>
        <v>2.25</v>
      </c>
      <c r="AF12" s="307">
        <v>1</v>
      </c>
      <c r="AG12" s="307">
        <f t="shared" si="15"/>
        <v>0.5</v>
      </c>
      <c r="AH12" s="271">
        <v>0.17770630292597353</v>
      </c>
      <c r="AI12" s="251">
        <f>IF(AH12&gt;QUARTILE($AH$4:$AH$13,3),$B$75,IF(AND(AH12&lt;=QUARTILE($AH$4:$AH$13,3),AH12&gt;QUARTILE($AH$4:$AH$13,2)),$B$74,IF(AND(AH12&lt;=QUARTILE(AH12:$AH$13,2),AH12&gt;QUARTILE($AH$4:$AH$13,1)),$B$73,$B$72)))</f>
        <v>2.25</v>
      </c>
      <c r="AJ12" s="285">
        <v>0</v>
      </c>
      <c r="AK12" s="285" t="str">
        <f t="shared" si="16"/>
        <v>0</v>
      </c>
      <c r="AL12" s="285">
        <f t="shared" si="17"/>
        <v>75.75</v>
      </c>
      <c r="AM12" s="279" t="s">
        <v>702</v>
      </c>
      <c r="AN12" s="283">
        <v>268962000</v>
      </c>
    </row>
    <row r="13" spans="1:40">
      <c r="A13" s="279" t="s">
        <v>698</v>
      </c>
      <c r="B13" s="285">
        <v>2.9</v>
      </c>
      <c r="C13" s="251">
        <f t="shared" si="0"/>
        <v>10.125</v>
      </c>
      <c r="D13" s="285">
        <v>0</v>
      </c>
      <c r="E13" s="285" t="str">
        <f t="shared" si="1"/>
        <v>0</v>
      </c>
      <c r="F13" s="285">
        <v>2.7</v>
      </c>
      <c r="G13" s="285">
        <f t="shared" si="2"/>
        <v>6.75</v>
      </c>
      <c r="H13" s="285">
        <v>0</v>
      </c>
      <c r="I13" s="285" t="str">
        <f t="shared" si="3"/>
        <v>0</v>
      </c>
      <c r="J13" s="271">
        <v>-2.9685200731110584E-2</v>
      </c>
      <c r="K13" s="251">
        <f t="shared" si="4"/>
        <v>1.25</v>
      </c>
      <c r="L13" s="271">
        <v>-9.8000000000000004E-2</v>
      </c>
      <c r="M13" s="251">
        <f t="shared" si="5"/>
        <v>1.25</v>
      </c>
      <c r="N13" s="285">
        <v>224.66</v>
      </c>
      <c r="O13" s="251">
        <f t="shared" si="6"/>
        <v>1.125</v>
      </c>
      <c r="P13" s="285">
        <v>0</v>
      </c>
      <c r="Q13" s="285" t="str">
        <f t="shared" si="7"/>
        <v>0</v>
      </c>
      <c r="R13" s="285">
        <v>8.2899999999999991</v>
      </c>
      <c r="S13" s="251">
        <f t="shared" si="8"/>
        <v>6.75</v>
      </c>
      <c r="T13" s="285">
        <v>1</v>
      </c>
      <c r="U13" s="285">
        <f t="shared" si="9"/>
        <v>1</v>
      </c>
      <c r="V13" s="285">
        <v>4.76</v>
      </c>
      <c r="W13" s="251">
        <f t="shared" si="10"/>
        <v>10.125</v>
      </c>
      <c r="X13" s="285">
        <v>1</v>
      </c>
      <c r="Y13" s="285">
        <f t="shared" si="11"/>
        <v>1.5</v>
      </c>
      <c r="Z13" s="285">
        <v>1.1399999999999999</v>
      </c>
      <c r="AA13" s="285">
        <f t="shared" si="12"/>
        <v>10.125</v>
      </c>
      <c r="AB13" s="285">
        <v>1</v>
      </c>
      <c r="AC13" s="285">
        <f t="shared" si="13"/>
        <v>1.5</v>
      </c>
      <c r="AD13" s="307">
        <v>1.0428999999999999</v>
      </c>
      <c r="AE13" s="251">
        <f t="shared" si="14"/>
        <v>1.125</v>
      </c>
      <c r="AF13" s="307">
        <v>1</v>
      </c>
      <c r="AG13" s="307">
        <f t="shared" si="15"/>
        <v>0.5</v>
      </c>
      <c r="AH13" s="271">
        <v>6.6844032157543143E-2</v>
      </c>
      <c r="AI13" s="251">
        <f>IF(AH13&gt;QUARTILE($AH$4:$AH$13,3),$B$75,IF(AND(AH13&lt;=QUARTILE($AH$4:$AH$13,3),AH13&gt;QUARTILE($AH$4:$AH$13,2)),$B$74,IF(AND(AH13&lt;=QUARTILE(AH13:$AH$13,2),AH13&gt;QUARTILE($AH$4:$AH$13,1)),$B$73,$B$72)))</f>
        <v>2.25</v>
      </c>
      <c r="AJ13" s="285">
        <v>1</v>
      </c>
      <c r="AK13" s="285">
        <f t="shared" si="16"/>
        <v>1</v>
      </c>
      <c r="AL13" s="285">
        <f t="shared" si="17"/>
        <v>56.375</v>
      </c>
      <c r="AM13" s="279" t="s">
        <v>698</v>
      </c>
      <c r="AN13" s="283">
        <v>196082800</v>
      </c>
    </row>
    <row r="15" spans="1:40" ht="18.75">
      <c r="A15" s="267" t="s">
        <v>60</v>
      </c>
      <c r="B15" s="267" t="s">
        <v>59</v>
      </c>
      <c r="C15" s="267"/>
      <c r="D15" s="267"/>
      <c r="E15" s="267"/>
      <c r="F15" s="267" t="s">
        <v>58</v>
      </c>
      <c r="G15" s="267"/>
      <c r="H15" s="267"/>
      <c r="I15" s="267"/>
      <c r="J15" s="267"/>
      <c r="K15" s="267"/>
      <c r="L15" s="267" t="s">
        <v>57</v>
      </c>
      <c r="M15" s="267"/>
    </row>
    <row r="16" spans="1:40" ht="17.25">
      <c r="A16" s="265" t="s">
        <v>56</v>
      </c>
      <c r="B16" s="256">
        <v>13.5</v>
      </c>
      <c r="C16" s="256"/>
      <c r="D16" s="264"/>
      <c r="E16" s="264"/>
      <c r="F16" s="256">
        <f>L16*0.1</f>
        <v>1.5</v>
      </c>
      <c r="G16" s="256"/>
      <c r="H16" s="262"/>
      <c r="I16" s="264"/>
      <c r="J16" s="264"/>
      <c r="K16" s="264"/>
      <c r="L16" s="256">
        <v>15</v>
      </c>
      <c r="M16" s="256"/>
      <c r="O16" s="236"/>
      <c r="P16" s="236"/>
      <c r="V16" s="236"/>
      <c r="W16" s="236"/>
      <c r="AE16" s="236"/>
      <c r="AF16" s="236"/>
      <c r="AG16" s="236"/>
      <c r="AH16" s="236"/>
      <c r="AI16" s="236"/>
      <c r="AJ16" s="236"/>
    </row>
    <row r="17" spans="1:36">
      <c r="A17" s="250" t="s">
        <v>727</v>
      </c>
      <c r="B17" s="250">
        <f>B16*0.25</f>
        <v>3.375</v>
      </c>
      <c r="F17" s="250" t="s">
        <v>7</v>
      </c>
      <c r="H17" s="236">
        <v>1.5</v>
      </c>
      <c r="O17" s="236"/>
      <c r="P17" s="236"/>
      <c r="R17" s="236"/>
      <c r="S17" s="236"/>
      <c r="V17" s="236"/>
      <c r="W17" s="236"/>
      <c r="Z17" s="236"/>
      <c r="AA17" s="236"/>
      <c r="AE17" s="236"/>
      <c r="AF17" s="236"/>
      <c r="AG17" s="236"/>
      <c r="AH17" s="236"/>
      <c r="AI17" s="236"/>
      <c r="AJ17" s="236"/>
    </row>
    <row r="18" spans="1:36">
      <c r="A18" s="250" t="s">
        <v>726</v>
      </c>
      <c r="B18" s="250">
        <f>B16*0.5</f>
        <v>6.75</v>
      </c>
      <c r="F18" s="250" t="s">
        <v>4</v>
      </c>
      <c r="H18" s="236">
        <v>0</v>
      </c>
      <c r="O18" s="236"/>
      <c r="P18" s="236"/>
      <c r="R18" s="236"/>
      <c r="S18" s="236"/>
      <c r="V18" s="236"/>
      <c r="W18" s="236"/>
      <c r="Z18" s="236"/>
      <c r="AA18" s="236"/>
      <c r="AE18" s="236"/>
      <c r="AF18" s="236"/>
      <c r="AG18" s="236"/>
      <c r="AH18" s="236"/>
      <c r="AI18" s="236"/>
      <c r="AJ18" s="236"/>
    </row>
    <row r="19" spans="1:36">
      <c r="A19" s="250" t="s">
        <v>223</v>
      </c>
      <c r="B19" s="250">
        <f>B16*0.75</f>
        <v>10.125</v>
      </c>
      <c r="H19" s="236"/>
      <c r="O19" s="236"/>
      <c r="P19" s="236"/>
      <c r="R19" s="236"/>
      <c r="S19" s="236"/>
      <c r="V19" s="236"/>
      <c r="W19" s="236"/>
      <c r="Z19" s="236"/>
      <c r="AA19" s="236"/>
      <c r="AE19" s="236"/>
      <c r="AF19" s="236"/>
      <c r="AG19" s="236"/>
      <c r="AH19" s="236"/>
      <c r="AI19" s="236"/>
      <c r="AJ19" s="236"/>
    </row>
    <row r="20" spans="1:36">
      <c r="A20" s="250" t="s">
        <v>222</v>
      </c>
      <c r="B20" s="250">
        <f>B16*1</f>
        <v>13.5</v>
      </c>
      <c r="H20" s="236"/>
      <c r="R20" s="236"/>
      <c r="S20" s="236"/>
      <c r="V20" s="236"/>
      <c r="W20" s="236"/>
      <c r="Z20" s="236"/>
      <c r="AA20" s="236"/>
      <c r="AE20" s="236"/>
      <c r="AF20" s="236"/>
      <c r="AG20" s="236"/>
      <c r="AH20" s="236"/>
      <c r="AI20" s="236"/>
      <c r="AJ20" s="236"/>
    </row>
    <row r="21" spans="1:36">
      <c r="H21" s="236"/>
      <c r="AE21" s="236"/>
      <c r="AF21" s="236"/>
      <c r="AG21" s="236"/>
      <c r="AH21" s="236"/>
      <c r="AI21" s="236"/>
      <c r="AJ21" s="236"/>
    </row>
    <row r="22" spans="1:36" ht="17.25">
      <c r="A22" s="265" t="s">
        <v>51</v>
      </c>
      <c r="B22" s="256">
        <v>13.5</v>
      </c>
      <c r="H22" s="236"/>
      <c r="AE22" s="236"/>
      <c r="AF22" s="236"/>
      <c r="AG22" s="236"/>
      <c r="AH22" s="236"/>
      <c r="AI22" s="236"/>
      <c r="AJ22" s="236"/>
    </row>
    <row r="23" spans="1:36">
      <c r="A23" s="302" t="s">
        <v>50</v>
      </c>
      <c r="B23" s="250">
        <f>B22*0.25</f>
        <v>3.375</v>
      </c>
      <c r="C23" s="256"/>
      <c r="D23" s="264"/>
      <c r="E23" s="264"/>
      <c r="F23" s="256">
        <f>L23*0.1</f>
        <v>1.5</v>
      </c>
      <c r="G23" s="256"/>
      <c r="H23" s="262"/>
      <c r="I23" s="264"/>
      <c r="J23" s="264"/>
      <c r="K23" s="264"/>
      <c r="L23" s="256">
        <v>15</v>
      </c>
      <c r="M23" s="256"/>
      <c r="AE23" s="236"/>
      <c r="AF23" s="236"/>
      <c r="AG23" s="236"/>
      <c r="AH23" s="236"/>
      <c r="AI23" s="236"/>
      <c r="AJ23" s="236"/>
    </row>
    <row r="24" spans="1:36">
      <c r="A24" s="250" t="s">
        <v>221</v>
      </c>
      <c r="B24" s="250">
        <f>B22*0.5</f>
        <v>6.75</v>
      </c>
      <c r="F24" s="250" t="s">
        <v>7</v>
      </c>
      <c r="H24" s="236">
        <v>1.5</v>
      </c>
      <c r="AE24" s="236"/>
      <c r="AF24" s="236"/>
      <c r="AG24" s="236"/>
      <c r="AH24" s="236"/>
      <c r="AI24" s="236"/>
      <c r="AJ24" s="236"/>
    </row>
    <row r="25" spans="1:36">
      <c r="A25" s="250" t="s">
        <v>220</v>
      </c>
      <c r="B25" s="250">
        <f>B22*0.75</f>
        <v>10.125</v>
      </c>
      <c r="F25" s="250" t="s">
        <v>4</v>
      </c>
      <c r="H25" s="236">
        <v>0</v>
      </c>
      <c r="AE25" s="236"/>
      <c r="AF25" s="236"/>
      <c r="AG25" s="236"/>
      <c r="AH25" s="236"/>
      <c r="AI25" s="236"/>
      <c r="AJ25" s="236"/>
    </row>
    <row r="26" spans="1:36">
      <c r="A26" s="250" t="s">
        <v>219</v>
      </c>
      <c r="B26" s="250">
        <f>B22*1</f>
        <v>13.5</v>
      </c>
      <c r="H26" s="236"/>
      <c r="AE26" s="236"/>
      <c r="AF26" s="236"/>
      <c r="AG26" s="236"/>
      <c r="AH26" s="236"/>
      <c r="AI26" s="236"/>
      <c r="AJ26" s="236"/>
    </row>
    <row r="27" spans="1:36">
      <c r="H27" s="236"/>
      <c r="AE27" s="236"/>
      <c r="AF27" s="236"/>
      <c r="AG27" s="236"/>
      <c r="AH27" s="236"/>
      <c r="AI27" s="236"/>
      <c r="AJ27" s="236"/>
    </row>
    <row r="28" spans="1:36">
      <c r="H28" s="236"/>
      <c r="AE28" s="236"/>
      <c r="AF28" s="236"/>
      <c r="AG28" s="236"/>
      <c r="AH28" s="236"/>
      <c r="AI28" s="236"/>
      <c r="AJ28" s="236"/>
    </row>
    <row r="29" spans="1:36" ht="17.25">
      <c r="A29" s="265" t="s">
        <v>46</v>
      </c>
      <c r="B29" s="256">
        <v>5</v>
      </c>
      <c r="C29" s="254"/>
      <c r="E29" s="251"/>
      <c r="H29" s="236"/>
      <c r="L29" s="254">
        <v>5</v>
      </c>
      <c r="M29" s="254"/>
    </row>
    <row r="30" spans="1:36">
      <c r="A30" s="250" t="s">
        <v>759</v>
      </c>
      <c r="B30" s="250">
        <f>B29*0.25</f>
        <v>1.25</v>
      </c>
      <c r="D30" s="250" t="s">
        <v>8</v>
      </c>
      <c r="E30" s="253">
        <f>QUARTILE(J4:J12,1)</f>
        <v>8.5166577374598207E-2</v>
      </c>
      <c r="H30" s="236"/>
    </row>
    <row r="31" spans="1:36">
      <c r="A31" s="250" t="s">
        <v>758</v>
      </c>
      <c r="B31" s="250">
        <f>B29*0.5</f>
        <v>2.5</v>
      </c>
      <c r="D31" s="250" t="s">
        <v>5</v>
      </c>
      <c r="E31" s="253">
        <f>QUARTILE(J4:J12,2)</f>
        <v>9.4275078843598203E-2</v>
      </c>
      <c r="H31" s="236"/>
    </row>
    <row r="32" spans="1:36">
      <c r="A32" s="250" t="s">
        <v>757</v>
      </c>
      <c r="B32" s="250">
        <f>B29*0.75</f>
        <v>3.75</v>
      </c>
      <c r="D32" s="250" t="s">
        <v>2</v>
      </c>
      <c r="E32" s="253">
        <f>QUARTILE(J4:J12,3)</f>
        <v>0.23584556704210913</v>
      </c>
      <c r="H32" s="236"/>
    </row>
    <row r="33" spans="1:13">
      <c r="A33" s="250" t="s">
        <v>756</v>
      </c>
      <c r="B33" s="250">
        <f>B29*1</f>
        <v>5</v>
      </c>
      <c r="E33" s="251"/>
      <c r="H33" s="236"/>
    </row>
    <row r="34" spans="1:13">
      <c r="E34" s="251"/>
      <c r="H34" s="236"/>
    </row>
    <row r="35" spans="1:13" ht="17.25">
      <c r="A35" s="265" t="s">
        <v>41</v>
      </c>
      <c r="B35" s="256">
        <v>5</v>
      </c>
      <c r="C35" s="254"/>
      <c r="E35" s="251"/>
      <c r="H35" s="236"/>
      <c r="L35" s="254">
        <v>5</v>
      </c>
      <c r="M35" s="254"/>
    </row>
    <row r="36" spans="1:13">
      <c r="A36" s="250" t="s">
        <v>755</v>
      </c>
      <c r="B36" s="250">
        <f>B35*0.25</f>
        <v>1.25</v>
      </c>
      <c r="D36" s="250" t="s">
        <v>8</v>
      </c>
      <c r="E36" s="253">
        <f>QUARTILE(L4:L12,1)</f>
        <v>0.33750000000000002</v>
      </c>
      <c r="H36" s="236"/>
    </row>
    <row r="37" spans="1:13">
      <c r="A37" s="250" t="s">
        <v>754</v>
      </c>
      <c r="B37" s="250">
        <f>B35*0.5</f>
        <v>2.5</v>
      </c>
      <c r="D37" s="250" t="s">
        <v>5</v>
      </c>
      <c r="E37" s="253">
        <f>QUARTILE(L4:L12,2)</f>
        <v>0.69650000000000001</v>
      </c>
      <c r="H37" s="236"/>
    </row>
    <row r="38" spans="1:13">
      <c r="A38" s="250" t="s">
        <v>753</v>
      </c>
      <c r="B38" s="250">
        <f>B35*0.75</f>
        <v>3.75</v>
      </c>
      <c r="D38" s="250" t="s">
        <v>2</v>
      </c>
      <c r="E38" s="253">
        <f>QUARTILE(L4:L12,3)</f>
        <v>1.6657999999999999</v>
      </c>
      <c r="H38" s="236"/>
    </row>
    <row r="39" spans="1:13">
      <c r="A39" s="250" t="s">
        <v>752</v>
      </c>
      <c r="B39" s="250">
        <f>B35*1</f>
        <v>5</v>
      </c>
      <c r="E39" s="251"/>
      <c r="H39" s="236"/>
    </row>
    <row r="40" spans="1:13">
      <c r="E40" s="251"/>
      <c r="H40" s="236"/>
    </row>
    <row r="41" spans="1:13" ht="17.25">
      <c r="A41" s="290" t="s">
        <v>36</v>
      </c>
      <c r="B41" s="256">
        <v>4.5</v>
      </c>
      <c r="C41" s="254"/>
      <c r="D41" s="254"/>
      <c r="E41" s="255"/>
      <c r="F41" s="254">
        <f>L41*0.1</f>
        <v>0.5</v>
      </c>
      <c r="G41" s="254"/>
      <c r="H41" s="258"/>
      <c r="I41" s="254"/>
      <c r="J41" s="254"/>
      <c r="K41" s="254"/>
      <c r="L41" s="254">
        <v>5</v>
      </c>
      <c r="M41" s="254"/>
    </row>
    <row r="42" spans="1:13">
      <c r="A42" s="250" t="s">
        <v>751</v>
      </c>
      <c r="B42" s="250">
        <v>4.5</v>
      </c>
      <c r="D42" s="250" t="s">
        <v>8</v>
      </c>
      <c r="E42" s="251">
        <f>QUARTILE(N4:N12,1)</f>
        <v>51.95</v>
      </c>
      <c r="F42" s="250" t="s">
        <v>7</v>
      </c>
      <c r="H42" s="236">
        <v>0.5</v>
      </c>
    </row>
    <row r="43" spans="1:13">
      <c r="A43" s="250" t="s">
        <v>750</v>
      </c>
      <c r="B43" s="250">
        <v>3.375</v>
      </c>
      <c r="D43" s="250" t="s">
        <v>5</v>
      </c>
      <c r="E43" s="251">
        <f>QUARTILE(N4:N12,2)</f>
        <v>92.39</v>
      </c>
      <c r="F43" s="250" t="s">
        <v>4</v>
      </c>
      <c r="H43" s="236">
        <v>0</v>
      </c>
    </row>
    <row r="44" spans="1:13">
      <c r="A44" s="250" t="s">
        <v>749</v>
      </c>
      <c r="B44" s="250">
        <v>2.25</v>
      </c>
      <c r="D44" s="250" t="s">
        <v>2</v>
      </c>
      <c r="E44" s="251">
        <f>QUARTILE(N4:N12,3)</f>
        <v>117.83</v>
      </c>
      <c r="H44" s="236"/>
    </row>
    <row r="45" spans="1:13">
      <c r="A45" s="250" t="s">
        <v>748</v>
      </c>
      <c r="B45" s="250">
        <v>1.125</v>
      </c>
      <c r="E45" s="251"/>
      <c r="H45" s="236"/>
    </row>
    <row r="46" spans="1:13">
      <c r="E46" s="251"/>
      <c r="H46" s="236"/>
    </row>
    <row r="47" spans="1:13" ht="17.25">
      <c r="A47" s="290" t="s">
        <v>31</v>
      </c>
      <c r="B47" s="256">
        <v>9</v>
      </c>
      <c r="C47" s="254"/>
      <c r="D47" s="254"/>
      <c r="E47" s="255"/>
      <c r="F47" s="254">
        <f>L47*0.1</f>
        <v>1</v>
      </c>
      <c r="G47" s="254"/>
      <c r="H47" s="258"/>
      <c r="I47" s="254"/>
      <c r="J47" s="254"/>
      <c r="K47" s="254"/>
      <c r="L47" s="254">
        <v>10</v>
      </c>
      <c r="M47" s="254"/>
    </row>
    <row r="48" spans="1:13">
      <c r="A48" s="237" t="s">
        <v>460</v>
      </c>
      <c r="B48" s="250">
        <f>B47*0.25</f>
        <v>2.25</v>
      </c>
      <c r="E48" s="251"/>
      <c r="F48" s="250" t="s">
        <v>7</v>
      </c>
      <c r="H48" s="236">
        <v>1</v>
      </c>
    </row>
    <row r="49" spans="1:13">
      <c r="A49" s="237" t="s">
        <v>713</v>
      </c>
      <c r="B49" s="250">
        <f>B47*0.5</f>
        <v>4.5</v>
      </c>
      <c r="E49" s="251"/>
      <c r="F49" s="250" t="s">
        <v>4</v>
      </c>
      <c r="H49" s="236">
        <v>0</v>
      </c>
    </row>
    <row r="50" spans="1:13">
      <c r="A50" s="237" t="s">
        <v>204</v>
      </c>
      <c r="B50" s="250">
        <f>B47*0.75</f>
        <v>6.75</v>
      </c>
      <c r="E50" s="251"/>
      <c r="H50" s="236"/>
    </row>
    <row r="51" spans="1:13">
      <c r="A51" s="237" t="s">
        <v>203</v>
      </c>
      <c r="B51" s="250">
        <f>B47*1</f>
        <v>9</v>
      </c>
      <c r="E51" s="251"/>
      <c r="H51" s="236"/>
    </row>
    <row r="52" spans="1:13">
      <c r="E52" s="251"/>
      <c r="H52" s="236"/>
    </row>
    <row r="53" spans="1:13" ht="17.25">
      <c r="A53" s="290" t="s">
        <v>26</v>
      </c>
      <c r="B53" s="256">
        <v>13.5</v>
      </c>
      <c r="C53" s="254"/>
      <c r="D53" s="254"/>
      <c r="E53" s="255"/>
      <c r="F53" s="254">
        <f>L53*0.1</f>
        <v>1.5</v>
      </c>
      <c r="G53" s="254"/>
      <c r="H53" s="258"/>
      <c r="I53" s="254"/>
      <c r="J53" s="254"/>
      <c r="K53" s="254"/>
      <c r="L53" s="254">
        <v>15</v>
      </c>
      <c r="M53" s="254"/>
    </row>
    <row r="54" spans="1:13">
      <c r="A54" s="237" t="s">
        <v>456</v>
      </c>
      <c r="B54" s="250">
        <f>B53*0.25</f>
        <v>3.375</v>
      </c>
      <c r="E54" s="251"/>
      <c r="F54" s="250" t="s">
        <v>7</v>
      </c>
      <c r="H54" s="236">
        <v>1.5</v>
      </c>
    </row>
    <row r="55" spans="1:13">
      <c r="A55" s="237" t="s">
        <v>712</v>
      </c>
      <c r="B55" s="250">
        <f>B53*0.5</f>
        <v>6.75</v>
      </c>
      <c r="E55" s="251"/>
      <c r="F55" s="250" t="s">
        <v>4</v>
      </c>
      <c r="H55" s="236">
        <v>0</v>
      </c>
    </row>
    <row r="56" spans="1:13">
      <c r="A56" s="237" t="s">
        <v>200</v>
      </c>
      <c r="B56" s="250">
        <f>B53*0.75</f>
        <v>10.125</v>
      </c>
      <c r="E56" s="251"/>
      <c r="H56" s="236"/>
    </row>
    <row r="57" spans="1:13">
      <c r="A57" s="237" t="s">
        <v>199</v>
      </c>
      <c r="B57" s="250">
        <f>B53*1</f>
        <v>13.5</v>
      </c>
      <c r="E57" s="251"/>
      <c r="H57" s="236"/>
    </row>
    <row r="58" spans="1:13">
      <c r="E58" s="251"/>
      <c r="H58" s="236"/>
    </row>
    <row r="59" spans="1:13" ht="17.25">
      <c r="A59" s="290" t="s">
        <v>21</v>
      </c>
      <c r="B59" s="256">
        <v>13.5</v>
      </c>
      <c r="C59" s="254"/>
      <c r="D59" s="254"/>
      <c r="E59" s="255"/>
      <c r="F59" s="254">
        <f>L59*0.1</f>
        <v>1.5</v>
      </c>
      <c r="G59" s="254"/>
      <c r="H59" s="258"/>
      <c r="I59" s="254"/>
      <c r="J59" s="254"/>
      <c r="K59" s="254"/>
      <c r="L59" s="254">
        <v>15</v>
      </c>
      <c r="M59" s="254"/>
    </row>
    <row r="60" spans="1:13">
      <c r="A60" s="237" t="s">
        <v>454</v>
      </c>
      <c r="B60" s="250">
        <f>B59*0.25</f>
        <v>3.375</v>
      </c>
      <c r="E60" s="251"/>
      <c r="F60" s="250" t="s">
        <v>7</v>
      </c>
      <c r="H60" s="236">
        <v>1.5</v>
      </c>
    </row>
    <row r="61" spans="1:13">
      <c r="A61" s="237" t="s">
        <v>453</v>
      </c>
      <c r="B61" s="250">
        <f>B59*0.5</f>
        <v>6.75</v>
      </c>
      <c r="E61" s="251"/>
      <c r="F61" s="250" t="s">
        <v>4</v>
      </c>
      <c r="H61" s="236">
        <v>0</v>
      </c>
    </row>
    <row r="62" spans="1:13">
      <c r="A62" s="237" t="s">
        <v>196</v>
      </c>
      <c r="B62" s="250">
        <f>B59*0.75</f>
        <v>10.125</v>
      </c>
      <c r="E62" s="251"/>
      <c r="H62" s="236"/>
    </row>
    <row r="63" spans="1:13">
      <c r="A63" s="237" t="s">
        <v>195</v>
      </c>
      <c r="B63" s="250">
        <f>B59*1</f>
        <v>13.5</v>
      </c>
      <c r="E63" s="251"/>
      <c r="H63" s="236"/>
    </row>
    <row r="64" spans="1:13">
      <c r="E64" s="251"/>
      <c r="H64" s="236"/>
    </row>
    <row r="65" spans="1:40" ht="17.25">
      <c r="A65" s="290" t="s">
        <v>16</v>
      </c>
      <c r="B65" s="256">
        <v>4.5</v>
      </c>
      <c r="C65" s="254"/>
      <c r="D65" s="254"/>
      <c r="E65" s="255"/>
      <c r="F65" s="254">
        <f>L65*0.1</f>
        <v>0.5</v>
      </c>
      <c r="G65" s="254"/>
      <c r="H65" s="258"/>
      <c r="I65" s="254"/>
      <c r="J65" s="254"/>
      <c r="K65" s="254"/>
      <c r="L65" s="254">
        <v>5</v>
      </c>
      <c r="M65" s="254"/>
    </row>
    <row r="66" spans="1:40">
      <c r="A66" s="250" t="s">
        <v>747</v>
      </c>
      <c r="B66" s="250">
        <f>B65*0.25</f>
        <v>1.125</v>
      </c>
      <c r="D66" s="250" t="s">
        <v>8</v>
      </c>
      <c r="E66" s="251">
        <f>QUARTILE(AD4:AD12,1)</f>
        <v>1.0849</v>
      </c>
      <c r="F66" s="250" t="s">
        <v>7</v>
      </c>
      <c r="H66" s="236">
        <v>0.5</v>
      </c>
    </row>
    <row r="67" spans="1:40">
      <c r="A67" s="250" t="s">
        <v>746</v>
      </c>
      <c r="B67" s="250">
        <f>B65*0.5</f>
        <v>2.25</v>
      </c>
      <c r="D67" s="250" t="s">
        <v>5</v>
      </c>
      <c r="E67" s="251">
        <f>QUARTILE(AD4:AD12,2)</f>
        <v>1.2104999999999999</v>
      </c>
      <c r="F67" s="250" t="s">
        <v>4</v>
      </c>
      <c r="H67" s="236">
        <v>0</v>
      </c>
    </row>
    <row r="68" spans="1:40">
      <c r="A68" s="250" t="s">
        <v>745</v>
      </c>
      <c r="B68" s="250">
        <f>B65*0.75</f>
        <v>3.375</v>
      </c>
      <c r="D68" s="250" t="s">
        <v>2</v>
      </c>
      <c r="E68" s="251">
        <f>QUARTILE(AD4:AD12,3)</f>
        <v>1.4407000000000001</v>
      </c>
      <c r="H68" s="236"/>
    </row>
    <row r="69" spans="1:40">
      <c r="A69" s="250" t="s">
        <v>744</v>
      </c>
      <c r="B69" s="250">
        <f>B65*1</f>
        <v>4.5</v>
      </c>
      <c r="E69" s="251"/>
      <c r="H69" s="236"/>
    </row>
    <row r="70" spans="1:40">
      <c r="E70" s="251"/>
      <c r="H70" s="236"/>
    </row>
    <row r="71" spans="1:40" ht="17.25">
      <c r="A71" s="290" t="s">
        <v>11</v>
      </c>
      <c r="B71" s="256">
        <v>9</v>
      </c>
      <c r="C71" s="254"/>
      <c r="D71" s="254"/>
      <c r="E71" s="255"/>
      <c r="F71" s="254">
        <f>L71*0.1</f>
        <v>1</v>
      </c>
      <c r="G71" s="254"/>
      <c r="H71" s="254"/>
      <c r="I71" s="254"/>
      <c r="J71" s="254"/>
      <c r="K71" s="254"/>
      <c r="L71" s="254">
        <v>10</v>
      </c>
      <c r="M71" s="254"/>
    </row>
    <row r="72" spans="1:40">
      <c r="A72" s="250" t="s">
        <v>743</v>
      </c>
      <c r="B72" s="250">
        <f>B71*0.25</f>
        <v>2.25</v>
      </c>
      <c r="D72" s="250" t="s">
        <v>8</v>
      </c>
      <c r="E72" s="253">
        <f>QUARTILE(AH4:AH12,1)</f>
        <v>0.16383622717331595</v>
      </c>
      <c r="F72" s="250" t="s">
        <v>7</v>
      </c>
      <c r="H72" s="236">
        <v>1</v>
      </c>
    </row>
    <row r="73" spans="1:40">
      <c r="A73" s="250" t="s">
        <v>742</v>
      </c>
      <c r="B73" s="250">
        <f>B71*0.5</f>
        <v>4.5</v>
      </c>
      <c r="D73" s="250" t="s">
        <v>5</v>
      </c>
      <c r="E73" s="253">
        <f>QUARTILE(AH4:AH13,2)</f>
        <v>0.18246685457623837</v>
      </c>
      <c r="F73" s="250" t="s">
        <v>4</v>
      </c>
      <c r="H73" s="236">
        <v>0</v>
      </c>
    </row>
    <row r="74" spans="1:40">
      <c r="A74" s="250" t="s">
        <v>741</v>
      </c>
      <c r="B74" s="250">
        <f>B71*0.75</f>
        <v>6.75</v>
      </c>
      <c r="D74" s="250" t="s">
        <v>2</v>
      </c>
      <c r="E74" s="253">
        <f>QUARTILE(AH4:AH12,3)</f>
        <v>0.28897625689681677</v>
      </c>
      <c r="H74" s="236"/>
    </row>
    <row r="75" spans="1:40">
      <c r="A75" s="250" t="s">
        <v>740</v>
      </c>
      <c r="B75" s="250">
        <f>B71*1</f>
        <v>9</v>
      </c>
    </row>
    <row r="77" spans="1:40" ht="18.75">
      <c r="B77" s="534" t="s">
        <v>0</v>
      </c>
      <c r="C77" s="534"/>
      <c r="D77" s="534"/>
      <c r="E77" s="534"/>
      <c r="F77" s="534"/>
      <c r="G77" s="534"/>
      <c r="H77" s="534"/>
      <c r="I77" s="534"/>
      <c r="J77" s="534"/>
      <c r="K77" s="254"/>
      <c r="L77" s="248">
        <f>SUM(L16:L74)</f>
        <v>100</v>
      </c>
      <c r="M77" s="248"/>
    </row>
    <row r="79" spans="1:40">
      <c r="AE79" s="236"/>
      <c r="AF79" s="236"/>
    </row>
    <row r="80" spans="1:40">
      <c r="A80" s="236"/>
      <c r="B80" s="236"/>
      <c r="C80" s="236"/>
      <c r="D80" s="236"/>
      <c r="E80" s="236"/>
      <c r="F80" s="236"/>
      <c r="G80" s="236"/>
      <c r="H80" s="236"/>
      <c r="I80" s="236"/>
      <c r="J80" s="236"/>
      <c r="K80" s="236"/>
      <c r="L80" s="236"/>
      <c r="M80" s="236"/>
      <c r="N80" s="236"/>
      <c r="O80" s="236"/>
      <c r="P80" s="236"/>
      <c r="Q80" s="236"/>
      <c r="R80" s="236"/>
      <c r="S80" s="236"/>
      <c r="T80" s="236"/>
      <c r="U80" s="236"/>
      <c r="V80" s="236"/>
      <c r="W80" s="236"/>
      <c r="X80" s="236"/>
      <c r="Y80" s="236"/>
      <c r="Z80" s="236"/>
      <c r="AA80" s="236"/>
      <c r="AB80" s="236"/>
      <c r="AC80" s="236"/>
      <c r="AD80" s="236"/>
      <c r="AE80" s="236"/>
      <c r="AF80" s="236"/>
      <c r="AG80" s="236"/>
      <c r="AH80" s="236"/>
      <c r="AI80" s="236"/>
      <c r="AJ80" s="236"/>
      <c r="AK80" s="236"/>
      <c r="AL80" s="236"/>
      <c r="AM80" s="236"/>
      <c r="AN80" s="236"/>
    </row>
    <row r="81" spans="1:40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</row>
    <row r="82" spans="1:40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</row>
    <row r="83" spans="1:40">
      <c r="A83" s="279" t="s">
        <v>696</v>
      </c>
      <c r="B83" s="280">
        <v>20.6</v>
      </c>
      <c r="C83" s="280">
        <v>11.25</v>
      </c>
      <c r="D83" s="280">
        <v>1</v>
      </c>
      <c r="E83" s="280">
        <v>3.75</v>
      </c>
      <c r="F83" s="280">
        <v>77.599999999999994</v>
      </c>
      <c r="G83" s="280">
        <v>11.25</v>
      </c>
      <c r="H83" s="280">
        <v>1</v>
      </c>
      <c r="I83" s="280">
        <v>3.75</v>
      </c>
      <c r="J83" s="271">
        <v>1.993461773921501E-2</v>
      </c>
      <c r="K83" s="285">
        <v>1.25</v>
      </c>
      <c r="L83" s="281">
        <v>2.7711000000000001</v>
      </c>
      <c r="M83" s="280">
        <v>5</v>
      </c>
      <c r="N83" s="280">
        <v>150.97999999999999</v>
      </c>
      <c r="O83" s="280">
        <v>1.0625</v>
      </c>
      <c r="P83" s="280">
        <v>0</v>
      </c>
      <c r="Q83" s="280">
        <v>0</v>
      </c>
      <c r="R83" s="280">
        <v>24.63</v>
      </c>
      <c r="S83" s="280">
        <v>8</v>
      </c>
      <c r="T83" s="280">
        <v>1</v>
      </c>
      <c r="U83" s="280">
        <v>2</v>
      </c>
      <c r="V83" s="280">
        <v>22.71</v>
      </c>
      <c r="W83" s="280">
        <v>12</v>
      </c>
      <c r="X83" s="280">
        <v>1</v>
      </c>
      <c r="Y83" s="280">
        <v>3</v>
      </c>
      <c r="Z83" s="280">
        <v>23.06</v>
      </c>
      <c r="AA83" s="280">
        <v>12</v>
      </c>
      <c r="AB83" s="280">
        <v>1</v>
      </c>
      <c r="AC83" s="280">
        <v>3</v>
      </c>
      <c r="AD83" s="308">
        <v>1.2938000000000001</v>
      </c>
      <c r="AE83" s="307">
        <v>3.375</v>
      </c>
      <c r="AF83" s="308">
        <v>1</v>
      </c>
      <c r="AG83" s="308">
        <v>0.5</v>
      </c>
      <c r="AH83" s="281">
        <v>0.39888454335132756</v>
      </c>
      <c r="AI83" s="308">
        <v>8</v>
      </c>
      <c r="AJ83" s="280">
        <v>1</v>
      </c>
      <c r="AK83" s="280">
        <v>2</v>
      </c>
      <c r="AL83" s="280">
        <f>C83+E83+G83+I83+K83+M83+O83+Q83+S83+U83+W83+Y83+AA83+AC83+AE13+AG83+AI83+AK83</f>
        <v>88.9375</v>
      </c>
      <c r="AM83" s="279" t="s">
        <v>696</v>
      </c>
      <c r="AN83" s="283">
        <v>190485900</v>
      </c>
    </row>
    <row r="84" spans="1:40">
      <c r="A84" s="279" t="s">
        <v>700</v>
      </c>
      <c r="B84" s="280">
        <v>8.8000000000000007</v>
      </c>
      <c r="C84" s="280">
        <v>11.25</v>
      </c>
      <c r="D84" s="280">
        <v>1</v>
      </c>
      <c r="E84" s="280">
        <v>3.75</v>
      </c>
      <c r="F84" s="280">
        <v>17.2</v>
      </c>
      <c r="G84" s="280">
        <v>8.4375</v>
      </c>
      <c r="H84" s="280">
        <v>1</v>
      </c>
      <c r="I84" s="280">
        <v>3.75</v>
      </c>
      <c r="J84" s="271">
        <v>4.7558911245062729E-2</v>
      </c>
      <c r="K84" s="285">
        <v>1.25</v>
      </c>
      <c r="L84" s="281">
        <v>0.67349999999999999</v>
      </c>
      <c r="M84" s="280">
        <v>2.5</v>
      </c>
      <c r="N84" s="280">
        <v>71.36</v>
      </c>
      <c r="O84" s="280">
        <v>3.1875</v>
      </c>
      <c r="P84" s="280">
        <v>1</v>
      </c>
      <c r="Q84" s="280">
        <v>0.75</v>
      </c>
      <c r="R84" s="280">
        <v>18.64</v>
      </c>
      <c r="S84" s="280">
        <v>8</v>
      </c>
      <c r="T84" s="280">
        <v>1</v>
      </c>
      <c r="U84" s="280">
        <v>2</v>
      </c>
      <c r="V84" s="280">
        <v>10.31</v>
      </c>
      <c r="W84" s="280">
        <v>12</v>
      </c>
      <c r="X84" s="280">
        <v>1</v>
      </c>
      <c r="Y84" s="280">
        <v>3</v>
      </c>
      <c r="Z84" s="280">
        <v>7.53</v>
      </c>
      <c r="AA84" s="280">
        <v>12</v>
      </c>
      <c r="AB84" s="280">
        <v>1</v>
      </c>
      <c r="AC84" s="280">
        <v>3</v>
      </c>
      <c r="AD84" s="308">
        <v>1.1149</v>
      </c>
      <c r="AE84" s="307">
        <v>2.25</v>
      </c>
      <c r="AF84" s="308">
        <v>1</v>
      </c>
      <c r="AG84" s="308">
        <v>0.5</v>
      </c>
      <c r="AH84" s="281">
        <v>0.12014440091214822</v>
      </c>
      <c r="AI84" s="308">
        <v>2</v>
      </c>
      <c r="AJ84" s="280">
        <v>1</v>
      </c>
      <c r="AK84" s="280">
        <v>2</v>
      </c>
      <c r="AL84" s="280">
        <f t="shared" ref="AL84:AL91" si="18">C84+E84+G84+I84+K84+M84+O84+Q84+S84+U84+W84+Y84+AA84+AC84+AE83+AG84+AI84+AK84</f>
        <v>82.75</v>
      </c>
      <c r="AM84" s="279" t="s">
        <v>700</v>
      </c>
      <c r="AN84" s="283">
        <v>189852900</v>
      </c>
    </row>
    <row r="85" spans="1:40">
      <c r="A85" s="279" t="s">
        <v>701</v>
      </c>
      <c r="B85" s="280">
        <v>5</v>
      </c>
      <c r="C85" s="280">
        <v>8.4375</v>
      </c>
      <c r="D85" s="280">
        <v>0</v>
      </c>
      <c r="E85" s="280">
        <v>0</v>
      </c>
      <c r="F85" s="280">
        <v>9.6999999999999993</v>
      </c>
      <c r="G85" s="280">
        <v>8.4375</v>
      </c>
      <c r="H85" s="280">
        <v>0</v>
      </c>
      <c r="I85" s="280">
        <v>0</v>
      </c>
      <c r="J85" s="286">
        <v>5.7000000000000002E-3</v>
      </c>
      <c r="K85" s="285">
        <v>1.25</v>
      </c>
      <c r="L85" s="281">
        <v>-0.29749999999999999</v>
      </c>
      <c r="M85" s="280">
        <v>1.25</v>
      </c>
      <c r="N85" s="280">
        <v>60.73</v>
      </c>
      <c r="O85" s="280">
        <v>3.1875</v>
      </c>
      <c r="P85" s="280">
        <v>0</v>
      </c>
      <c r="Q85" s="280">
        <v>0</v>
      </c>
      <c r="R85" s="280">
        <v>5.28</v>
      </c>
      <c r="S85" s="280">
        <v>4</v>
      </c>
      <c r="T85" s="280">
        <v>0</v>
      </c>
      <c r="U85" s="280">
        <v>0</v>
      </c>
      <c r="V85" s="280">
        <v>3.31</v>
      </c>
      <c r="W85" s="280">
        <v>9</v>
      </c>
      <c r="X85" s="280">
        <v>0</v>
      </c>
      <c r="Y85" s="280">
        <v>0</v>
      </c>
      <c r="Z85" s="280">
        <v>2.4300000000000002</v>
      </c>
      <c r="AA85" s="280">
        <v>9</v>
      </c>
      <c r="AB85" s="280">
        <v>0</v>
      </c>
      <c r="AC85" s="280">
        <v>0</v>
      </c>
      <c r="AD85" s="308">
        <v>1.0343</v>
      </c>
      <c r="AE85" s="307">
        <v>1.125</v>
      </c>
      <c r="AF85" s="308">
        <v>0</v>
      </c>
      <c r="AG85" s="308">
        <v>0</v>
      </c>
      <c r="AH85" s="281">
        <v>0.11624970459527516</v>
      </c>
      <c r="AI85" s="308">
        <v>2</v>
      </c>
      <c r="AJ85" s="280">
        <v>0</v>
      </c>
      <c r="AK85" s="280">
        <v>0</v>
      </c>
      <c r="AL85" s="280">
        <f t="shared" si="18"/>
        <v>48.8125</v>
      </c>
      <c r="AM85" s="279" t="s">
        <v>701</v>
      </c>
      <c r="AN85" s="283">
        <v>186577400</v>
      </c>
    </row>
    <row r="86" spans="1:40">
      <c r="A86" s="279" t="s">
        <v>699</v>
      </c>
      <c r="B86" s="280">
        <v>14.7</v>
      </c>
      <c r="C86" s="280">
        <v>11.25</v>
      </c>
      <c r="D86" s="280">
        <v>1</v>
      </c>
      <c r="E86" s="280">
        <v>3.75</v>
      </c>
      <c r="F86" s="280">
        <v>18.5</v>
      </c>
      <c r="G86" s="280">
        <v>8.4375</v>
      </c>
      <c r="H86" s="280">
        <v>1</v>
      </c>
      <c r="I86" s="280">
        <v>3.75</v>
      </c>
      <c r="J86" s="271">
        <v>5.052636722563264E-2</v>
      </c>
      <c r="K86" s="285">
        <v>1.25</v>
      </c>
      <c r="L86" s="281">
        <v>0.18940000000000001</v>
      </c>
      <c r="M86" s="280">
        <v>1.25</v>
      </c>
      <c r="N86" s="280">
        <v>182.25</v>
      </c>
      <c r="O86" s="280">
        <v>1.0625</v>
      </c>
      <c r="P86" s="280">
        <v>1</v>
      </c>
      <c r="Q86" s="280">
        <v>0.75</v>
      </c>
      <c r="R86" s="280">
        <v>19.079999999999998</v>
      </c>
      <c r="S86" s="280">
        <v>8</v>
      </c>
      <c r="T86" s="280">
        <v>1</v>
      </c>
      <c r="U86" s="280">
        <v>2</v>
      </c>
      <c r="V86" s="280">
        <v>12.11</v>
      </c>
      <c r="W86" s="280">
        <v>12</v>
      </c>
      <c r="X86" s="280">
        <v>0</v>
      </c>
      <c r="Y86" s="280">
        <v>0</v>
      </c>
      <c r="Z86" s="280">
        <v>13.2</v>
      </c>
      <c r="AA86" s="280">
        <v>12</v>
      </c>
      <c r="AB86" s="280">
        <v>0</v>
      </c>
      <c r="AC86" s="280">
        <v>0</v>
      </c>
      <c r="AD86" s="308">
        <v>1.1377999999999999</v>
      </c>
      <c r="AE86" s="307">
        <v>3.375</v>
      </c>
      <c r="AF86" s="308">
        <v>0</v>
      </c>
      <c r="AG86" s="308">
        <v>0</v>
      </c>
      <c r="AH86" s="281">
        <v>0.16974118994048967</v>
      </c>
      <c r="AI86" s="308">
        <v>4</v>
      </c>
      <c r="AJ86" s="280">
        <v>0</v>
      </c>
      <c r="AK86" s="280">
        <v>0</v>
      </c>
      <c r="AL86" s="280">
        <f t="shared" si="18"/>
        <v>70.625</v>
      </c>
      <c r="AM86" s="279" t="s">
        <v>699</v>
      </c>
      <c r="AN86" s="283">
        <v>185295500</v>
      </c>
    </row>
    <row r="87" spans="1:40">
      <c r="A87" s="279" t="s">
        <v>703</v>
      </c>
      <c r="B87" s="280">
        <v>10.8</v>
      </c>
      <c r="C87" s="280">
        <v>11.25</v>
      </c>
      <c r="D87" s="280">
        <v>0</v>
      </c>
      <c r="E87" s="280">
        <v>0</v>
      </c>
      <c r="F87" s="280">
        <v>36.4</v>
      </c>
      <c r="G87" s="280">
        <v>11.25</v>
      </c>
      <c r="H87" s="280">
        <v>0</v>
      </c>
      <c r="I87" s="280">
        <v>0</v>
      </c>
      <c r="J87" s="271">
        <v>0.16636117107437598</v>
      </c>
      <c r="K87" s="285">
        <v>3.74</v>
      </c>
      <c r="L87" s="281">
        <v>-0.3372</v>
      </c>
      <c r="M87" s="280">
        <v>1.25</v>
      </c>
      <c r="N87" s="280">
        <v>-73.78</v>
      </c>
      <c r="O87" s="280">
        <v>4.25</v>
      </c>
      <c r="P87" s="280">
        <v>1</v>
      </c>
      <c r="Q87" s="280">
        <v>0.75</v>
      </c>
      <c r="R87" s="280">
        <v>9.67</v>
      </c>
      <c r="S87" s="280">
        <v>6</v>
      </c>
      <c r="T87" s="280">
        <v>0</v>
      </c>
      <c r="U87" s="280">
        <v>0</v>
      </c>
      <c r="V87" s="280">
        <v>2.91</v>
      </c>
      <c r="W87" s="280">
        <v>9</v>
      </c>
      <c r="X87" s="280">
        <v>0</v>
      </c>
      <c r="Y87" s="280">
        <v>0</v>
      </c>
      <c r="Z87" s="280">
        <v>5.82</v>
      </c>
      <c r="AA87" s="280">
        <v>12</v>
      </c>
      <c r="AB87" s="280">
        <v>0</v>
      </c>
      <c r="AC87" s="280">
        <v>0</v>
      </c>
      <c r="AD87" s="308">
        <v>1.0299</v>
      </c>
      <c r="AE87" s="307">
        <v>1.125</v>
      </c>
      <c r="AF87" s="308">
        <v>0</v>
      </c>
      <c r="AG87" s="308">
        <v>0</v>
      </c>
      <c r="AH87" s="281">
        <v>0.3932469288557916</v>
      </c>
      <c r="AI87" s="308">
        <v>8</v>
      </c>
      <c r="AJ87" s="280">
        <v>0</v>
      </c>
      <c r="AK87" s="280">
        <v>0</v>
      </c>
      <c r="AL87" s="280">
        <f t="shared" si="18"/>
        <v>70.865000000000009</v>
      </c>
      <c r="AM87" s="279" t="s">
        <v>703</v>
      </c>
      <c r="AN87" s="283">
        <v>181954900</v>
      </c>
    </row>
    <row r="88" spans="1:40">
      <c r="A88" s="279" t="s">
        <v>697</v>
      </c>
      <c r="B88" s="280">
        <v>12.3</v>
      </c>
      <c r="C88" s="280">
        <v>11.25</v>
      </c>
      <c r="D88" s="280">
        <v>1</v>
      </c>
      <c r="E88" s="280">
        <v>3.75</v>
      </c>
      <c r="F88" s="280">
        <v>26.4</v>
      </c>
      <c r="G88" s="280">
        <v>8.4375</v>
      </c>
      <c r="H88" s="280">
        <v>1</v>
      </c>
      <c r="I88" s="280">
        <v>3.75</v>
      </c>
      <c r="J88" s="271">
        <v>1.0731273402068586E-2</v>
      </c>
      <c r="K88" s="285">
        <v>1.25</v>
      </c>
      <c r="L88" s="281">
        <v>1.4265000000000001</v>
      </c>
      <c r="M88" s="280">
        <v>3.75</v>
      </c>
      <c r="N88" s="280">
        <v>-6.71</v>
      </c>
      <c r="O88" s="280">
        <v>4.25</v>
      </c>
      <c r="P88" s="280">
        <v>1</v>
      </c>
      <c r="Q88" s="280">
        <v>0.75</v>
      </c>
      <c r="R88" s="280">
        <v>14</v>
      </c>
      <c r="S88" s="280">
        <v>6</v>
      </c>
      <c r="T88" s="280">
        <v>1</v>
      </c>
      <c r="U88" s="280">
        <v>2</v>
      </c>
      <c r="V88" s="280">
        <v>8.61</v>
      </c>
      <c r="W88" s="280">
        <v>12</v>
      </c>
      <c r="X88" s="280">
        <v>1</v>
      </c>
      <c r="Y88" s="280">
        <v>3</v>
      </c>
      <c r="Z88" s="280">
        <v>7.34</v>
      </c>
      <c r="AA88" s="280">
        <v>12</v>
      </c>
      <c r="AB88" s="280">
        <v>1</v>
      </c>
      <c r="AC88" s="280">
        <v>3</v>
      </c>
      <c r="AD88" s="308">
        <v>1.0942000000000001</v>
      </c>
      <c r="AE88" s="307">
        <v>2.25</v>
      </c>
      <c r="AF88" s="308">
        <v>1</v>
      </c>
      <c r="AG88" s="308">
        <v>0.5</v>
      </c>
      <c r="AH88" s="281">
        <v>0.19760032843300648</v>
      </c>
      <c r="AI88" s="308">
        <v>6</v>
      </c>
      <c r="AJ88" s="280">
        <v>1</v>
      </c>
      <c r="AK88" s="280">
        <v>2</v>
      </c>
      <c r="AL88" s="280">
        <f t="shared" si="18"/>
        <v>84.8125</v>
      </c>
      <c r="AM88" s="279" t="s">
        <v>697</v>
      </c>
      <c r="AN88" s="283">
        <v>165527900</v>
      </c>
    </row>
    <row r="89" spans="1:40">
      <c r="A89" s="279" t="s">
        <v>739</v>
      </c>
      <c r="B89" s="280">
        <v>-5.2</v>
      </c>
      <c r="C89" s="280">
        <v>2.8125</v>
      </c>
      <c r="D89" s="280">
        <v>0</v>
      </c>
      <c r="E89" s="280">
        <v>0</v>
      </c>
      <c r="F89" s="280">
        <v>-238.7</v>
      </c>
      <c r="G89" s="280">
        <v>2.8125</v>
      </c>
      <c r="H89" s="280">
        <v>0</v>
      </c>
      <c r="I89" s="280">
        <v>0</v>
      </c>
      <c r="J89" s="271">
        <v>5.3818327331967231E-2</v>
      </c>
      <c r="K89" s="280">
        <v>1.25</v>
      </c>
      <c r="L89" s="281">
        <v>0.4133</v>
      </c>
      <c r="M89" s="280">
        <v>2.5</v>
      </c>
      <c r="N89" s="280">
        <v>93.54</v>
      </c>
      <c r="O89" s="280">
        <v>2.125</v>
      </c>
      <c r="P89" s="280">
        <v>0</v>
      </c>
      <c r="Q89" s="280">
        <v>0</v>
      </c>
      <c r="R89" s="280">
        <v>-1.42</v>
      </c>
      <c r="S89" s="280">
        <v>4</v>
      </c>
      <c r="T89" s="280">
        <v>0</v>
      </c>
      <c r="U89" s="280">
        <v>0</v>
      </c>
      <c r="V89" s="280">
        <v>5.29</v>
      </c>
      <c r="W89" s="280">
        <v>9</v>
      </c>
      <c r="X89" s="280">
        <v>1</v>
      </c>
      <c r="Y89" s="280">
        <v>3</v>
      </c>
      <c r="Z89" s="280">
        <v>-4.5199999999999996</v>
      </c>
      <c r="AA89" s="280">
        <v>9</v>
      </c>
      <c r="AB89" s="280">
        <v>1</v>
      </c>
      <c r="AC89" s="280">
        <v>3</v>
      </c>
      <c r="AD89" s="280">
        <v>1.056</v>
      </c>
      <c r="AE89" s="307">
        <v>1.125</v>
      </c>
      <c r="AF89" s="280">
        <v>1</v>
      </c>
      <c r="AG89" s="280">
        <v>0.5</v>
      </c>
      <c r="AH89" s="281">
        <v>1.1335466358913851E-2</v>
      </c>
      <c r="AI89" s="280">
        <v>2</v>
      </c>
      <c r="AJ89" s="280">
        <v>1</v>
      </c>
      <c r="AK89" s="280">
        <v>2</v>
      </c>
      <c r="AL89" s="280">
        <f t="shared" si="18"/>
        <v>46.25</v>
      </c>
      <c r="AM89" s="279" t="s">
        <v>739</v>
      </c>
      <c r="AN89" s="283">
        <v>158441600</v>
      </c>
    </row>
    <row r="90" spans="1:40">
      <c r="A90" s="279" t="s">
        <v>738</v>
      </c>
      <c r="B90" s="280">
        <v>15.1</v>
      </c>
      <c r="C90" s="280">
        <v>11.25</v>
      </c>
      <c r="D90" s="280">
        <v>0</v>
      </c>
      <c r="E90" s="280">
        <v>0</v>
      </c>
      <c r="F90" s="280">
        <v>27.9</v>
      </c>
      <c r="G90" s="280">
        <v>8.4375</v>
      </c>
      <c r="H90" s="280">
        <v>0</v>
      </c>
      <c r="I90" s="280">
        <v>0</v>
      </c>
      <c r="J90" s="271">
        <v>8.1118644697345088E-2</v>
      </c>
      <c r="K90" s="280">
        <v>1.25</v>
      </c>
      <c r="L90" s="281">
        <v>-0.13880000000000001</v>
      </c>
      <c r="M90" s="280">
        <v>1.25</v>
      </c>
      <c r="N90" s="280">
        <v>58.69</v>
      </c>
      <c r="O90" s="280">
        <v>3.1875</v>
      </c>
      <c r="P90" s="280">
        <v>0</v>
      </c>
      <c r="Q90" s="280">
        <v>0</v>
      </c>
      <c r="R90" s="280">
        <v>10.63</v>
      </c>
      <c r="S90" s="280">
        <v>6</v>
      </c>
      <c r="T90" s="280">
        <v>0</v>
      </c>
      <c r="U90" s="280">
        <v>0</v>
      </c>
      <c r="V90" s="280">
        <v>7.45</v>
      </c>
      <c r="W90" s="280">
        <v>9</v>
      </c>
      <c r="X90" s="280">
        <v>0</v>
      </c>
      <c r="Y90" s="280">
        <v>0</v>
      </c>
      <c r="Z90" s="280">
        <v>6.89</v>
      </c>
      <c r="AA90" s="280">
        <v>12</v>
      </c>
      <c r="AB90" s="280">
        <v>0</v>
      </c>
      <c r="AC90" s="280">
        <v>0</v>
      </c>
      <c r="AD90" s="280">
        <v>1.0805</v>
      </c>
      <c r="AE90" s="307">
        <v>1.125</v>
      </c>
      <c r="AF90" s="280">
        <v>0</v>
      </c>
      <c r="AG90" s="280">
        <v>0</v>
      </c>
      <c r="AH90" s="281">
        <v>0.22040422293453746</v>
      </c>
      <c r="AI90" s="280">
        <v>6</v>
      </c>
      <c r="AJ90" s="280">
        <v>0</v>
      </c>
      <c r="AK90" s="280">
        <v>0</v>
      </c>
      <c r="AL90" s="280">
        <f t="shared" si="18"/>
        <v>59.5</v>
      </c>
      <c r="AM90" s="279" t="s">
        <v>738</v>
      </c>
      <c r="AN90" s="283">
        <v>133168100</v>
      </c>
    </row>
    <row r="91" spans="1:40">
      <c r="A91" s="279" t="s">
        <v>737</v>
      </c>
      <c r="B91" s="280">
        <v>13.9</v>
      </c>
      <c r="C91" s="280">
        <v>11.25</v>
      </c>
      <c r="D91" s="280">
        <v>1</v>
      </c>
      <c r="E91" s="280">
        <v>3.75</v>
      </c>
      <c r="F91" s="280">
        <v>41.5</v>
      </c>
      <c r="G91" s="280">
        <v>11.25</v>
      </c>
      <c r="H91" s="280">
        <v>0</v>
      </c>
      <c r="I91" s="280">
        <v>0</v>
      </c>
      <c r="J91" s="271">
        <v>0.45899708950953166</v>
      </c>
      <c r="K91" s="280">
        <v>5</v>
      </c>
      <c r="L91" s="281">
        <v>0.47199999999999998</v>
      </c>
      <c r="M91" s="280">
        <v>2.5</v>
      </c>
      <c r="N91" s="280">
        <v>-67.41</v>
      </c>
      <c r="O91" s="280">
        <v>4.25</v>
      </c>
      <c r="P91" s="280">
        <v>0</v>
      </c>
      <c r="Q91" s="280">
        <v>0</v>
      </c>
      <c r="R91" s="280">
        <v>12.05</v>
      </c>
      <c r="S91" s="280">
        <v>6</v>
      </c>
      <c r="T91" s="280">
        <v>0</v>
      </c>
      <c r="U91" s="280">
        <v>0</v>
      </c>
      <c r="V91" s="280">
        <v>9.7100000000000009</v>
      </c>
      <c r="W91" s="280">
        <v>12</v>
      </c>
      <c r="X91" s="280">
        <v>0</v>
      </c>
      <c r="Y91" s="280">
        <v>0</v>
      </c>
      <c r="Z91" s="280">
        <v>8.76</v>
      </c>
      <c r="AA91" s="280">
        <v>12</v>
      </c>
      <c r="AB91" s="280">
        <v>0</v>
      </c>
      <c r="AC91" s="280">
        <v>0</v>
      </c>
      <c r="AD91" s="280">
        <v>1.1074999999999999</v>
      </c>
      <c r="AE91" s="250">
        <v>2.25</v>
      </c>
      <c r="AF91" s="280">
        <v>0</v>
      </c>
      <c r="AG91" s="280">
        <v>0</v>
      </c>
      <c r="AH91" s="281">
        <v>0.25704103717089366</v>
      </c>
      <c r="AI91" s="280">
        <v>6</v>
      </c>
      <c r="AJ91" s="280">
        <v>1</v>
      </c>
      <c r="AK91" s="280">
        <v>2</v>
      </c>
      <c r="AL91" s="280">
        <f t="shared" si="18"/>
        <v>77.125</v>
      </c>
      <c r="AM91" s="279" t="s">
        <v>737</v>
      </c>
      <c r="AN91" s="283">
        <v>126117200</v>
      </c>
    </row>
    <row r="92" spans="1:40">
      <c r="A92" s="236"/>
      <c r="B92" s="236"/>
      <c r="C92" s="236"/>
      <c r="D92" s="236"/>
      <c r="E92" s="236"/>
      <c r="F92" s="236"/>
      <c r="G92" s="236"/>
      <c r="H92" s="236"/>
      <c r="I92" s="236"/>
      <c r="J92" s="236"/>
      <c r="K92" s="236"/>
      <c r="L92" s="236"/>
      <c r="M92" s="236"/>
      <c r="N92" s="236"/>
      <c r="O92" s="236"/>
      <c r="P92" s="236"/>
      <c r="Q92" s="236"/>
      <c r="R92" s="236"/>
      <c r="S92" s="236"/>
      <c r="T92" s="236"/>
      <c r="U92" s="236"/>
      <c r="V92" s="236"/>
      <c r="W92" s="236"/>
      <c r="X92" s="236"/>
      <c r="Y92" s="236"/>
      <c r="Z92" s="236"/>
      <c r="AA92" s="236"/>
      <c r="AB92" s="236"/>
      <c r="AC92" s="236"/>
      <c r="AD92" s="236"/>
      <c r="AE92" s="236"/>
      <c r="AF92" s="236"/>
      <c r="AG92" s="236"/>
      <c r="AH92" s="236"/>
      <c r="AI92" s="236"/>
      <c r="AJ92" s="236"/>
      <c r="AK92" s="236"/>
      <c r="AL92" s="236"/>
      <c r="AM92" s="236"/>
      <c r="AN92" s="236"/>
    </row>
    <row r="93" spans="1:40">
      <c r="A93" s="236"/>
      <c r="B93" s="236"/>
      <c r="C93" s="236"/>
      <c r="D93" s="236"/>
      <c r="E93" s="236"/>
      <c r="F93" s="236"/>
      <c r="G93" s="236"/>
      <c r="H93" s="236"/>
      <c r="I93" s="236"/>
      <c r="J93" s="236"/>
      <c r="K93" s="236"/>
      <c r="L93" s="236"/>
      <c r="M93" s="236"/>
      <c r="N93" s="236"/>
      <c r="O93" s="236"/>
      <c r="P93" s="236"/>
      <c r="Q93" s="236"/>
      <c r="R93" s="236"/>
      <c r="S93" s="236"/>
      <c r="T93" s="236"/>
      <c r="U93" s="236"/>
      <c r="V93" s="236"/>
      <c r="W93" s="236"/>
      <c r="X93" s="236"/>
      <c r="Y93" s="236"/>
      <c r="Z93" s="236"/>
      <c r="AA93" s="236"/>
      <c r="AB93" s="236"/>
      <c r="AC93" s="236"/>
      <c r="AD93" s="236"/>
      <c r="AE93" s="236"/>
      <c r="AF93" s="236"/>
      <c r="AG93" s="236"/>
      <c r="AH93" s="236"/>
      <c r="AI93" s="236"/>
      <c r="AJ93" s="236"/>
      <c r="AK93" s="236"/>
      <c r="AL93" s="236"/>
      <c r="AM93" s="236"/>
      <c r="AN93" s="236"/>
    </row>
    <row r="94" spans="1:40">
      <c r="A94" s="236"/>
      <c r="B94" s="236"/>
      <c r="C94" s="236"/>
      <c r="D94" s="236"/>
      <c r="E94" s="236"/>
      <c r="F94" s="236"/>
      <c r="G94" s="236"/>
      <c r="H94" s="236"/>
      <c r="I94" s="236"/>
      <c r="J94" s="236"/>
      <c r="K94" s="236"/>
      <c r="L94" s="236"/>
      <c r="M94" s="236"/>
      <c r="N94" s="236"/>
      <c r="O94" s="236"/>
      <c r="P94" s="236"/>
      <c r="Q94" s="236"/>
      <c r="R94" s="236"/>
      <c r="S94" s="236"/>
      <c r="T94" s="236"/>
      <c r="U94" s="236"/>
      <c r="V94" s="236"/>
      <c r="W94" s="236"/>
      <c r="X94" s="236"/>
      <c r="Y94" s="236"/>
      <c r="Z94" s="236"/>
      <c r="AA94" s="236"/>
      <c r="AB94" s="236"/>
      <c r="AC94" s="236"/>
      <c r="AD94" s="236"/>
      <c r="AE94" s="236"/>
      <c r="AF94" s="236"/>
      <c r="AG94" s="236"/>
      <c r="AH94" s="236"/>
      <c r="AI94" s="236"/>
      <c r="AJ94" s="236"/>
      <c r="AK94" s="236"/>
      <c r="AL94" s="236"/>
      <c r="AM94" s="236"/>
      <c r="AN94" s="236"/>
    </row>
    <row r="95" spans="1:40">
      <c r="A95" s="236"/>
      <c r="B95" s="236"/>
      <c r="C95" s="236"/>
      <c r="D95" s="236"/>
      <c r="E95" s="236"/>
      <c r="F95" s="236"/>
      <c r="G95" s="236"/>
      <c r="H95" s="236"/>
      <c r="I95" s="236"/>
      <c r="J95" s="236"/>
      <c r="K95" s="236"/>
      <c r="L95" s="236"/>
      <c r="M95" s="236"/>
      <c r="N95" s="236"/>
      <c r="O95" s="236"/>
      <c r="P95" s="236"/>
      <c r="Q95" s="236"/>
      <c r="R95" s="236"/>
      <c r="S95" s="236"/>
      <c r="T95" s="236"/>
      <c r="U95" s="236"/>
      <c r="V95" s="236"/>
      <c r="W95" s="236"/>
      <c r="X95" s="236"/>
      <c r="Y95" s="236"/>
      <c r="Z95" s="236"/>
      <c r="AA95" s="236"/>
      <c r="AB95" s="236"/>
      <c r="AC95" s="236"/>
      <c r="AD95" s="236"/>
      <c r="AE95" s="236"/>
      <c r="AF95" s="236"/>
      <c r="AG95" s="236"/>
      <c r="AH95" s="236"/>
      <c r="AI95" s="236"/>
      <c r="AJ95" s="236"/>
      <c r="AK95" s="236"/>
      <c r="AL95" s="236"/>
      <c r="AM95" s="236"/>
      <c r="AN95" s="236"/>
    </row>
    <row r="96" spans="1:40">
      <c r="A96" s="236"/>
      <c r="B96" s="236"/>
      <c r="C96" s="236"/>
      <c r="D96" s="236"/>
      <c r="E96" s="236"/>
      <c r="F96" s="236"/>
      <c r="G96" s="236"/>
      <c r="H96" s="236"/>
      <c r="I96" s="236"/>
      <c r="J96" s="236"/>
      <c r="K96" s="236"/>
      <c r="L96" s="236"/>
      <c r="M96" s="236"/>
      <c r="N96" s="236"/>
      <c r="O96" s="236"/>
      <c r="P96" s="236"/>
      <c r="Q96" s="236"/>
      <c r="R96" s="236"/>
      <c r="S96" s="236"/>
      <c r="T96" s="236"/>
      <c r="U96" s="236"/>
      <c r="V96" s="236"/>
      <c r="W96" s="236"/>
      <c r="X96" s="236"/>
      <c r="Y96" s="236"/>
      <c r="Z96" s="236"/>
      <c r="AA96" s="236"/>
      <c r="AB96" s="236"/>
      <c r="AC96" s="236"/>
      <c r="AD96" s="236"/>
      <c r="AE96" s="236"/>
      <c r="AF96" s="236"/>
      <c r="AG96" s="236"/>
      <c r="AH96" s="236"/>
      <c r="AI96" s="236"/>
      <c r="AJ96" s="236"/>
      <c r="AK96" s="236"/>
      <c r="AL96" s="236"/>
      <c r="AM96" s="236"/>
      <c r="AN96" s="236"/>
    </row>
    <row r="97" spans="1:40">
      <c r="A97" s="236"/>
      <c r="B97" s="236"/>
      <c r="C97" s="236"/>
      <c r="D97" s="236"/>
      <c r="E97" s="236"/>
      <c r="F97" s="236"/>
      <c r="G97" s="236"/>
      <c r="H97" s="236"/>
      <c r="I97" s="236"/>
      <c r="J97" s="236"/>
      <c r="K97" s="236"/>
      <c r="L97" s="236"/>
      <c r="M97" s="236"/>
      <c r="N97" s="236"/>
      <c r="O97" s="236"/>
      <c r="P97" s="236"/>
      <c r="Q97" s="236"/>
      <c r="R97" s="236"/>
      <c r="S97" s="236"/>
      <c r="T97" s="236"/>
      <c r="U97" s="236"/>
      <c r="V97" s="236"/>
      <c r="W97" s="236"/>
      <c r="X97" s="236"/>
      <c r="Y97" s="236"/>
      <c r="Z97" s="236"/>
      <c r="AA97" s="236"/>
      <c r="AB97" s="236"/>
      <c r="AC97" s="236"/>
      <c r="AD97" s="236"/>
      <c r="AE97" s="236"/>
      <c r="AF97" s="236"/>
      <c r="AG97" s="236"/>
      <c r="AH97" s="236"/>
      <c r="AI97" s="236"/>
      <c r="AJ97" s="236"/>
      <c r="AK97" s="236"/>
      <c r="AL97" s="236"/>
      <c r="AM97" s="236"/>
      <c r="AN97" s="236"/>
    </row>
    <row r="98" spans="1:40">
      <c r="A98" s="236"/>
      <c r="B98" s="236"/>
      <c r="C98" s="236"/>
      <c r="D98" s="236"/>
      <c r="E98" s="236"/>
      <c r="F98" s="236"/>
      <c r="G98" s="236"/>
      <c r="H98" s="236"/>
      <c r="I98" s="236"/>
      <c r="J98" s="236"/>
      <c r="K98" s="236"/>
      <c r="L98" s="236"/>
      <c r="M98" s="236"/>
      <c r="N98" s="236"/>
      <c r="O98" s="236"/>
      <c r="P98" s="236"/>
      <c r="Q98" s="236"/>
      <c r="R98" s="236"/>
      <c r="S98" s="236"/>
      <c r="T98" s="236"/>
      <c r="U98" s="236"/>
      <c r="V98" s="236"/>
      <c r="W98" s="236"/>
      <c r="X98" s="236"/>
      <c r="Y98" s="236"/>
      <c r="Z98" s="236"/>
      <c r="AA98" s="236"/>
      <c r="AB98" s="236"/>
      <c r="AC98" s="236"/>
      <c r="AD98" s="236"/>
      <c r="AE98" s="236"/>
      <c r="AF98" s="236"/>
      <c r="AG98" s="236"/>
      <c r="AH98" s="236"/>
      <c r="AI98" s="236"/>
      <c r="AJ98" s="236"/>
      <c r="AK98" s="236"/>
      <c r="AL98" s="236"/>
      <c r="AM98" s="236"/>
      <c r="AN98" s="236"/>
    </row>
    <row r="99" spans="1:40">
      <c r="A99" s="236"/>
      <c r="B99" s="236"/>
      <c r="C99" s="236"/>
      <c r="D99" s="236"/>
      <c r="E99" s="236"/>
      <c r="F99" s="236"/>
      <c r="G99" s="236"/>
      <c r="H99" s="236"/>
      <c r="I99" s="236"/>
      <c r="J99" s="236"/>
      <c r="K99" s="236"/>
      <c r="L99" s="236"/>
      <c r="M99" s="236"/>
      <c r="N99" s="236"/>
      <c r="O99" s="236"/>
      <c r="P99" s="236"/>
      <c r="Q99" s="236"/>
      <c r="R99" s="236"/>
      <c r="S99" s="236"/>
      <c r="T99" s="236"/>
      <c r="U99" s="236"/>
      <c r="V99" s="236"/>
      <c r="W99" s="236"/>
      <c r="X99" s="236"/>
      <c r="Y99" s="236"/>
      <c r="Z99" s="236"/>
      <c r="AA99" s="236"/>
      <c r="AB99" s="236"/>
      <c r="AC99" s="236"/>
      <c r="AD99" s="236"/>
      <c r="AG99" s="236"/>
      <c r="AH99" s="236"/>
      <c r="AI99" s="236"/>
      <c r="AJ99" s="236"/>
      <c r="AK99" s="236"/>
      <c r="AL99" s="236"/>
      <c r="AM99" s="236"/>
      <c r="AN99" s="236"/>
    </row>
  </sheetData>
  <mergeCells count="2">
    <mergeCell ref="A1:AJ2"/>
    <mergeCell ref="B77:J77"/>
  </mergeCells>
  <pageMargins left="0.75" right="0.75" top="1" bottom="1" header="0.5" footer="0.5"/>
  <pageSetup paperSize="9" orientation="portrait" horizontalDpi="4294967292" verticalDpi="4294967292"/>
</worksheet>
</file>

<file path=xl/worksheets/sheet27.xml><?xml version="1.0" encoding="utf-8"?>
<worksheet xmlns="http://schemas.openxmlformats.org/spreadsheetml/2006/main" xmlns:r="http://schemas.openxmlformats.org/officeDocument/2006/relationships">
  <dimension ref="A2:I30"/>
  <sheetViews>
    <sheetView workbookViewId="0">
      <selection activeCell="D3" sqref="D3"/>
    </sheetView>
  </sheetViews>
  <sheetFormatPr defaultColWidth="12.5703125" defaultRowHeight="15.75"/>
  <cols>
    <col min="1" max="1" width="4.85546875" style="236" customWidth="1"/>
    <col min="2" max="2" width="56" style="236" customWidth="1"/>
    <col min="3" max="3" width="18.28515625" style="236" customWidth="1"/>
    <col min="4" max="4" width="17.7109375" style="236" customWidth="1"/>
    <col min="5" max="5" width="5.42578125" style="236" customWidth="1"/>
    <col min="6" max="6" width="46.28515625" style="236" customWidth="1"/>
    <col min="7" max="7" width="14.7109375" style="236" customWidth="1"/>
    <col min="8" max="16384" width="12.5703125" style="236"/>
  </cols>
  <sheetData>
    <row r="2" spans="1:9">
      <c r="D2"/>
      <c r="G2" s="250"/>
    </row>
    <row r="3" spans="1:9" ht="21">
      <c r="B3" s="301"/>
      <c r="D3"/>
      <c r="F3" s="301"/>
      <c r="G3" s="250"/>
    </row>
    <row r="4" spans="1:9" ht="31.5">
      <c r="A4" s="394"/>
      <c r="B4" s="303" t="s">
        <v>97</v>
      </c>
      <c r="C4" s="548" t="s">
        <v>926</v>
      </c>
      <c r="D4"/>
      <c r="E4" s="493"/>
      <c r="F4" s="309" t="s">
        <v>97</v>
      </c>
      <c r="G4" s="548" t="s">
        <v>925</v>
      </c>
      <c r="H4" s="492" t="s">
        <v>764</v>
      </c>
      <c r="I4" s="492" t="s">
        <v>763</v>
      </c>
    </row>
    <row r="5" spans="1:9">
      <c r="A5" s="394">
        <v>1</v>
      </c>
      <c r="B5" s="303" t="s">
        <v>734</v>
      </c>
      <c r="C5" s="39">
        <v>95.25</v>
      </c>
      <c r="D5"/>
      <c r="E5" s="493" t="s">
        <v>77</v>
      </c>
      <c r="F5" s="303" t="s">
        <v>730</v>
      </c>
      <c r="G5" s="51">
        <v>96.5</v>
      </c>
      <c r="H5" s="496">
        <v>5</v>
      </c>
      <c r="I5" s="495">
        <v>16.87</v>
      </c>
    </row>
    <row r="6" spans="1:9">
      <c r="A6" s="394">
        <v>2</v>
      </c>
      <c r="B6" s="303" t="s">
        <v>729</v>
      </c>
      <c r="C6" s="39">
        <v>92.375</v>
      </c>
      <c r="D6"/>
      <c r="E6" s="493" t="s">
        <v>75</v>
      </c>
      <c r="F6" s="303" t="s">
        <v>734</v>
      </c>
      <c r="G6" s="51">
        <v>90.125</v>
      </c>
      <c r="H6" s="494">
        <v>-1</v>
      </c>
      <c r="I6" s="495">
        <v>-5.12</v>
      </c>
    </row>
    <row r="7" spans="1:9">
      <c r="A7" s="394">
        <v>3</v>
      </c>
      <c r="B7" s="303" t="s">
        <v>695</v>
      </c>
      <c r="C7" s="39">
        <v>85.625</v>
      </c>
      <c r="D7"/>
      <c r="E7" s="493" t="s">
        <v>69</v>
      </c>
      <c r="F7" s="303" t="s">
        <v>733</v>
      </c>
      <c r="G7" s="51">
        <v>87.875</v>
      </c>
      <c r="H7" s="496">
        <v>4</v>
      </c>
      <c r="I7" s="495">
        <v>10.88</v>
      </c>
    </row>
    <row r="8" spans="1:9">
      <c r="A8" s="394">
        <v>4</v>
      </c>
      <c r="B8" s="303" t="s">
        <v>731</v>
      </c>
      <c r="C8" s="39">
        <v>81</v>
      </c>
      <c r="D8"/>
      <c r="E8" s="493" t="s">
        <v>63</v>
      </c>
      <c r="F8" s="303" t="s">
        <v>732</v>
      </c>
      <c r="G8" s="51">
        <v>77.25</v>
      </c>
      <c r="H8" s="496">
        <v>1</v>
      </c>
      <c r="I8" s="495">
        <v>-2.63</v>
      </c>
    </row>
    <row r="9" spans="1:9">
      <c r="A9" s="394">
        <v>5</v>
      </c>
      <c r="B9" s="303" t="s">
        <v>732</v>
      </c>
      <c r="C9" s="39">
        <v>79.875</v>
      </c>
      <c r="D9"/>
      <c r="E9" s="493" t="s">
        <v>65</v>
      </c>
      <c r="F9" s="303" t="s">
        <v>729</v>
      </c>
      <c r="G9" s="51">
        <v>75.875</v>
      </c>
      <c r="H9" s="494">
        <v>-3</v>
      </c>
      <c r="I9" s="495">
        <v>-16.5</v>
      </c>
    </row>
    <row r="10" spans="1:9">
      <c r="A10" s="394">
        <v>6</v>
      </c>
      <c r="B10" s="303" t="s">
        <v>730</v>
      </c>
      <c r="C10" s="39">
        <v>79.625</v>
      </c>
      <c r="D10"/>
      <c r="E10" s="493" t="s">
        <v>73</v>
      </c>
      <c r="F10" s="303" t="s">
        <v>731</v>
      </c>
      <c r="G10" s="51">
        <v>69.875</v>
      </c>
      <c r="H10" s="494">
        <v>-2</v>
      </c>
      <c r="I10" s="495">
        <v>15.88</v>
      </c>
    </row>
    <row r="11" spans="1:9">
      <c r="A11" s="394">
        <v>7</v>
      </c>
      <c r="B11" s="303" t="s">
        <v>733</v>
      </c>
      <c r="C11" s="39">
        <v>77</v>
      </c>
      <c r="D11"/>
      <c r="E11" s="493" t="s">
        <v>71</v>
      </c>
      <c r="F11" s="303" t="s">
        <v>702</v>
      </c>
      <c r="G11" s="51">
        <v>58.5625</v>
      </c>
      <c r="H11" s="496">
        <v>1</v>
      </c>
      <c r="I11" s="495">
        <v>-17.190000000000001</v>
      </c>
    </row>
    <row r="12" spans="1:9">
      <c r="A12" s="394">
        <v>8</v>
      </c>
      <c r="B12" s="303" t="s">
        <v>702</v>
      </c>
      <c r="C12" s="39">
        <v>75.75</v>
      </c>
      <c r="D12"/>
      <c r="E12" s="493" t="s">
        <v>67</v>
      </c>
      <c r="F12" s="303" t="s">
        <v>703</v>
      </c>
      <c r="G12" s="51">
        <v>54.5</v>
      </c>
      <c r="H12" s="493" t="s">
        <v>183</v>
      </c>
      <c r="I12" s="495" t="s">
        <v>183</v>
      </c>
    </row>
    <row r="13" spans="1:9">
      <c r="A13" s="394">
        <v>9</v>
      </c>
      <c r="B13" s="303" t="s">
        <v>728</v>
      </c>
      <c r="C13" s="39">
        <v>67.375</v>
      </c>
      <c r="D13"/>
      <c r="E13" s="493" t="s">
        <v>79</v>
      </c>
      <c r="F13" s="303" t="s">
        <v>735</v>
      </c>
      <c r="G13" s="51">
        <v>39.25</v>
      </c>
      <c r="H13" s="493" t="s">
        <v>183</v>
      </c>
      <c r="I13" s="495" t="s">
        <v>183</v>
      </c>
    </row>
    <row r="14" spans="1:9">
      <c r="A14" s="394">
        <v>10</v>
      </c>
      <c r="B14" s="303" t="s">
        <v>698</v>
      </c>
      <c r="C14" s="39">
        <v>56.375</v>
      </c>
      <c r="D14"/>
      <c r="E14" s="493" t="s">
        <v>61</v>
      </c>
      <c r="F14" s="303" t="s">
        <v>728</v>
      </c>
      <c r="G14" s="51">
        <v>26.5</v>
      </c>
      <c r="H14" s="494">
        <v>-1</v>
      </c>
      <c r="I14" s="495">
        <v>-40.880000000000003</v>
      </c>
    </row>
    <row r="15" spans="1:9">
      <c r="D15"/>
    </row>
    <row r="20" spans="5:6">
      <c r="E20"/>
      <c r="F20"/>
    </row>
    <row r="21" spans="5:6">
      <c r="E21"/>
      <c r="F21"/>
    </row>
    <row r="22" spans="5:6">
      <c r="E22"/>
      <c r="F22"/>
    </row>
    <row r="23" spans="5:6">
      <c r="E23"/>
      <c r="F23"/>
    </row>
    <row r="24" spans="5:6">
      <c r="E24"/>
      <c r="F24"/>
    </row>
    <row r="25" spans="5:6">
      <c r="E25"/>
      <c r="F25"/>
    </row>
    <row r="26" spans="5:6">
      <c r="E26"/>
      <c r="F26"/>
    </row>
    <row r="27" spans="5:6">
      <c r="E27"/>
      <c r="F27"/>
    </row>
    <row r="28" spans="5:6">
      <c r="E28"/>
      <c r="F28"/>
    </row>
    <row r="29" spans="5:6">
      <c r="E29"/>
      <c r="F29"/>
    </row>
    <row r="30" spans="5:6">
      <c r="E30"/>
      <c r="F30"/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P79"/>
  <sheetViews>
    <sheetView topLeftCell="A7" zoomScale="75" zoomScaleNormal="75" zoomScalePageLayoutView="75" workbookViewId="0">
      <selection activeCell="A73" sqref="A73"/>
    </sheetView>
  </sheetViews>
  <sheetFormatPr defaultColWidth="12.5703125" defaultRowHeight="15.75"/>
  <cols>
    <col min="1" max="1" width="37.85546875" style="236" bestFit="1" customWidth="1"/>
    <col min="2" max="4" width="12.5703125" style="236"/>
    <col min="5" max="5" width="8.42578125" style="236" bestFit="1" customWidth="1"/>
    <col min="6" max="6" width="16.140625" style="236" bestFit="1" customWidth="1"/>
    <col min="7" max="9" width="12.5703125" style="236"/>
    <col min="10" max="10" width="16.140625" style="236" customWidth="1"/>
    <col min="11" max="29" width="12.5703125" style="236" customWidth="1"/>
    <col min="30" max="30" width="12" style="236" customWidth="1"/>
    <col min="31" max="33" width="12.5703125" style="236" customWidth="1"/>
    <col min="34" max="37" width="12.5703125" style="236"/>
    <col min="38" max="38" width="14.28515625" style="236" customWidth="1"/>
    <col min="39" max="39" width="37.85546875" style="236" bestFit="1" customWidth="1"/>
    <col min="40" max="40" width="12.5703125" style="236"/>
    <col min="41" max="41" width="29.28515625" style="236" bestFit="1" customWidth="1"/>
    <col min="42" max="42" width="10.7109375" style="236" bestFit="1" customWidth="1"/>
    <col min="43" max="16384" width="12.5703125" style="236"/>
  </cols>
  <sheetData>
    <row r="1" spans="1:42">
      <c r="A1" s="535" t="s">
        <v>669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250"/>
      <c r="AL1" s="250"/>
      <c r="AM1" s="250"/>
    </row>
    <row r="2" spans="1:42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250"/>
      <c r="AL2" s="250"/>
      <c r="AM2" s="250"/>
    </row>
    <row r="3" spans="1:42" ht="79.5" thickBot="1">
      <c r="A3" s="401" t="s">
        <v>97</v>
      </c>
      <c r="B3" s="401" t="s">
        <v>812</v>
      </c>
      <c r="C3" s="402" t="s">
        <v>93</v>
      </c>
      <c r="D3" s="402" t="s">
        <v>95</v>
      </c>
      <c r="E3" s="402" t="s">
        <v>93</v>
      </c>
      <c r="F3" s="401" t="s">
        <v>811</v>
      </c>
      <c r="G3" s="402" t="s">
        <v>83</v>
      </c>
      <c r="H3" s="402" t="s">
        <v>84</v>
      </c>
      <c r="I3" s="402" t="s">
        <v>93</v>
      </c>
      <c r="J3" s="401" t="s">
        <v>810</v>
      </c>
      <c r="K3" s="402" t="s">
        <v>83</v>
      </c>
      <c r="L3" s="403" t="s">
        <v>809</v>
      </c>
      <c r="M3" s="402" t="s">
        <v>83</v>
      </c>
      <c r="N3" s="402" t="s">
        <v>808</v>
      </c>
      <c r="O3" s="402" t="s">
        <v>83</v>
      </c>
      <c r="P3" s="402" t="s">
        <v>84</v>
      </c>
      <c r="Q3" s="402" t="s">
        <v>83</v>
      </c>
      <c r="R3" s="402" t="s">
        <v>807</v>
      </c>
      <c r="S3" s="402" t="s">
        <v>83</v>
      </c>
      <c r="T3" s="402" t="s">
        <v>84</v>
      </c>
      <c r="U3" s="402" t="s">
        <v>83</v>
      </c>
      <c r="V3" s="402" t="s">
        <v>806</v>
      </c>
      <c r="W3" s="402" t="s">
        <v>83</v>
      </c>
      <c r="X3" s="402" t="s">
        <v>84</v>
      </c>
      <c r="Y3" s="402" t="s">
        <v>83</v>
      </c>
      <c r="Z3" s="402" t="s">
        <v>805</v>
      </c>
      <c r="AA3" s="402" t="s">
        <v>83</v>
      </c>
      <c r="AB3" s="402" t="s">
        <v>84</v>
      </c>
      <c r="AC3" s="402" t="s">
        <v>83</v>
      </c>
      <c r="AD3" s="402" t="s">
        <v>804</v>
      </c>
      <c r="AE3" s="402" t="s">
        <v>83</v>
      </c>
      <c r="AF3" s="402" t="s">
        <v>84</v>
      </c>
      <c r="AG3" s="402" t="s">
        <v>83</v>
      </c>
      <c r="AH3" s="402" t="s">
        <v>803</v>
      </c>
      <c r="AI3" s="402" t="s">
        <v>83</v>
      </c>
      <c r="AJ3" s="402" t="s">
        <v>84</v>
      </c>
      <c r="AK3" s="356" t="s">
        <v>93</v>
      </c>
      <c r="AL3" s="355" t="s">
        <v>668</v>
      </c>
      <c r="AM3" s="354" t="s">
        <v>97</v>
      </c>
      <c r="AO3" s="353" t="s">
        <v>802</v>
      </c>
      <c r="AP3" s="353" t="s">
        <v>801</v>
      </c>
    </row>
    <row r="4" spans="1:42" ht="16.5" thickTop="1">
      <c r="A4" s="404" t="s">
        <v>791</v>
      </c>
      <c r="B4" s="345">
        <v>-0.7</v>
      </c>
      <c r="C4" s="331">
        <f t="shared" ref="C4:C15" si="0">IF(B4&gt;3.5,$B$22,IF(AND(B4&lt;=3.5,B4&gt;0),$B$21,IF(AND(B4&lt;=0,B4&gt;-7.6),$B$20,$B$19)))</f>
        <v>6.75</v>
      </c>
      <c r="D4" s="299">
        <v>0</v>
      </c>
      <c r="E4" s="331" t="str">
        <f t="shared" ref="E4:E15" si="1">IF(D4=0,"0","1,5")</f>
        <v>0</v>
      </c>
      <c r="F4" s="352">
        <v>-7.3</v>
      </c>
      <c r="G4" s="331">
        <f t="shared" ref="G4:G15" si="2">IF(F4&gt;38.6,$B$28,IF(AND(F4&lt;=36.6,F4&gt;6.2),$B$27,IF(AND(F4&lt;=6.2,F4&gt;-1.5),$B$26,$B$25)))</f>
        <v>3.375</v>
      </c>
      <c r="H4" s="299">
        <v>0</v>
      </c>
      <c r="I4" s="331" t="str">
        <f t="shared" ref="I4:I15" si="3">IF(H4=0,"0","1,5")</f>
        <v>0</v>
      </c>
      <c r="J4" s="340">
        <v>-0.28870000000000001</v>
      </c>
      <c r="K4" s="337">
        <f t="shared" ref="K4:K15" si="4">IF(J4&gt;QUARTILE($J$4:$J$15,3),$B$35,IF(AND(J4&lt;=QUARTILE($J$4:$J$15,3),J4&gt;QUARTILE($J$4:$J$15,2)),$B$34,IF(AND(J4&lt;=QUARTILE($J$4:$J$15,2),J4&gt;QUARTILE($J$4:$J$15,1)),$B$33,$B$32)))</f>
        <v>2.5</v>
      </c>
      <c r="L4" s="339">
        <v>-7.0000000000000007E-2</v>
      </c>
      <c r="M4" s="337">
        <f t="shared" ref="M4:M15" si="5">IF(L4&gt;QUARTILE($L$4:$L$15,3),$B$41,IF(AND(L4&lt;=QUARTILE($L$4:$L$15,3),L4&gt;QUARTILE($L$4:$L$15,2)),$B$40,IF(AND(L4&lt;=QUARTILE($L$4:$L$15,2),L4&gt;QUARTILE($L$4:$L$15,1)),$B$39,$B$38)))</f>
        <v>3.75</v>
      </c>
      <c r="N4" s="337">
        <v>181.22</v>
      </c>
      <c r="O4" s="332">
        <f t="shared" ref="O4:O15" si="6">IF(N4&gt;QUARTILE($N$4:$N$15,3),$B$47,IF(AND(N4&lt;=QUARTILE($N$4:$N$15,3),N4&gt;QUARTILE($N$4:$N$15,2)),$B$46,IF(AND(N4&lt;=QUARTILE($N$4:$N$15,2),N4&gt;QUARTILE($N$4:$N$15,1)),$B$45,$B$44)))</f>
        <v>2.25</v>
      </c>
      <c r="P4" s="331">
        <v>0</v>
      </c>
      <c r="Q4" s="331" t="str">
        <f t="shared" ref="Q4:Q15" si="7">IF(P4=0,"0","0,50")</f>
        <v>0</v>
      </c>
      <c r="R4" s="336">
        <v>4.36E-2</v>
      </c>
      <c r="S4" s="337">
        <f t="shared" ref="S4:S15" si="8">IF(R4&gt;12.26%,$B$53,IF(AND(R4&lt;=12.26%,R4&gt;2.4%),$B$52,IF(AND(R4&lt;=2.4%,R4&gt;-44.36%),$B$51,$B$50)))</f>
        <v>6.75</v>
      </c>
      <c r="T4" s="334">
        <v>1</v>
      </c>
      <c r="U4" s="336" t="str">
        <f t="shared" ref="U4:U15" si="9">IF(T4=0,"0","1")</f>
        <v>1</v>
      </c>
      <c r="V4" s="338">
        <v>2.1399999999999999E-2</v>
      </c>
      <c r="W4" s="337">
        <f t="shared" ref="W4:W15" si="10">IF(V4&gt;7.33%,$B$59,IF(AND(V4&lt;=7.33%,V4&gt;0.92%),$B$58,IF(AND(V4&lt;=0.92%,V4&gt;-29.52%),$B$57,$B$56)))</f>
        <v>10.125</v>
      </c>
      <c r="X4" s="334">
        <v>1</v>
      </c>
      <c r="Y4" s="336" t="str">
        <f t="shared" ref="Y4:Y15" si="11">IF(X4=0,"0","1,5")</f>
        <v>1,5</v>
      </c>
      <c r="Z4" s="343">
        <v>-7.9000000000000008E-3</v>
      </c>
      <c r="AA4" s="337">
        <f t="shared" ref="AA4:AA15" si="12">IF(Z4&gt;3.89%,$B$65,IF(AND(Z4&lt;=3.89%,Z4&gt;0.1%),$B$64,IF(AND(Z4&lt;=0.1%,Z4&gt;-72.24%),$B$63,$B$62)))</f>
        <v>6.75</v>
      </c>
      <c r="AB4" s="334">
        <v>0</v>
      </c>
      <c r="AC4" s="336" t="str">
        <f t="shared" ref="AC4:AC15" si="13">IF(AB4=0,"0","1,5")</f>
        <v>0</v>
      </c>
      <c r="AD4" s="335">
        <v>0.99</v>
      </c>
      <c r="AE4" s="332">
        <f t="shared" ref="AE4:AE15" si="14">IF(AD4&gt;QUARTILE($AD$4:$AD$15,3),$B$71,IF(AND(AD4&lt;=QUARTILE($AD$4:$AD$15,3),AD4&gt;QUARTILE($AD$4:$AD$15,2)),$B$70,IF(AND(AD4&lt;=QUARTILE($AD$4:$AD$15,2),AD4&gt;QUARTILE($AD$4:$AD$15,1)),$B$69,$B$68)))</f>
        <v>2.25</v>
      </c>
      <c r="AF4" s="334">
        <v>0</v>
      </c>
      <c r="AG4" s="332" t="str">
        <f t="shared" ref="AG4:AG15" si="15">IF(AF4=0,"0","0,5")</f>
        <v>0</v>
      </c>
      <c r="AH4" s="333">
        <v>2.87E-2</v>
      </c>
      <c r="AI4" s="332">
        <f t="shared" ref="AI4:AI15" si="16">IF(AH4&gt;QUARTILE($AH$4:$AH$15,3),$B$77,IF(AND(AH4&lt;=QUARTILE($AH$4:$AH$15,3),AH4&gt;QUARTILE($AH$4:$AH$15,2)),$B$76,IF(AND(AH4&lt;=QUARTILE($AH$4:$AH$15,2),AH4&gt;QUARTILE($AH$4:$AH$15,1)),$B$75,$B$74)))</f>
        <v>4.5</v>
      </c>
      <c r="AJ4" s="331">
        <v>1</v>
      </c>
      <c r="AK4" s="331" t="str">
        <f t="shared" ref="AK4:AK15" si="17">IF(AJ4=0,"0","1")</f>
        <v>1</v>
      </c>
      <c r="AL4" s="330">
        <f t="shared" ref="AL4:AL15" si="18">C4+E4+G4+I4+K4+M4+O4+Q4+S4+U4+W4+Y4+AA4+AC4+AE4+AG4+AI4+AK4</f>
        <v>52.5</v>
      </c>
      <c r="AM4" s="329" t="s">
        <v>791</v>
      </c>
      <c r="AO4" s="351" t="s">
        <v>788</v>
      </c>
      <c r="AP4" s="350">
        <v>89.25</v>
      </c>
    </row>
    <row r="5" spans="1:42">
      <c r="A5" s="404" t="s">
        <v>799</v>
      </c>
      <c r="B5" s="331">
        <v>17.399999999999999</v>
      </c>
      <c r="C5" s="331">
        <f t="shared" si="0"/>
        <v>13.5</v>
      </c>
      <c r="D5" s="299">
        <v>0</v>
      </c>
      <c r="E5" s="331" t="str">
        <f t="shared" si="1"/>
        <v>0</v>
      </c>
      <c r="F5" s="337">
        <v>26.7</v>
      </c>
      <c r="G5" s="331">
        <f t="shared" si="2"/>
        <v>10.125</v>
      </c>
      <c r="H5" s="299">
        <v>0</v>
      </c>
      <c r="I5" s="331" t="str">
        <f t="shared" si="3"/>
        <v>0</v>
      </c>
      <c r="J5" s="346" t="s">
        <v>800</v>
      </c>
      <c r="K5" s="337">
        <f t="shared" si="4"/>
        <v>5</v>
      </c>
      <c r="L5" s="339">
        <v>-0.51300000000000001</v>
      </c>
      <c r="M5" s="337">
        <f t="shared" si="5"/>
        <v>1.25</v>
      </c>
      <c r="N5" s="337">
        <v>192.23</v>
      </c>
      <c r="O5" s="332">
        <f t="shared" si="6"/>
        <v>1.125</v>
      </c>
      <c r="P5" s="331">
        <v>0</v>
      </c>
      <c r="Q5" s="331" t="str">
        <f t="shared" si="7"/>
        <v>0</v>
      </c>
      <c r="R5" s="336">
        <v>0.24199999999999999</v>
      </c>
      <c r="S5" s="337">
        <f t="shared" si="8"/>
        <v>9</v>
      </c>
      <c r="T5" s="334">
        <v>0</v>
      </c>
      <c r="U5" s="336" t="str">
        <f t="shared" si="9"/>
        <v>0</v>
      </c>
      <c r="V5" s="338">
        <v>0.2329</v>
      </c>
      <c r="W5" s="337">
        <f t="shared" si="10"/>
        <v>13.5</v>
      </c>
      <c r="X5" s="334">
        <v>0</v>
      </c>
      <c r="Y5" s="336" t="str">
        <f t="shared" si="11"/>
        <v>0</v>
      </c>
      <c r="Z5" s="336">
        <v>0.17069999999999999</v>
      </c>
      <c r="AA5" s="337">
        <f t="shared" si="12"/>
        <v>13.5</v>
      </c>
      <c r="AB5" s="334">
        <v>0</v>
      </c>
      <c r="AC5" s="336" t="str">
        <f t="shared" si="13"/>
        <v>0</v>
      </c>
      <c r="AD5" s="335">
        <v>1.27</v>
      </c>
      <c r="AE5" s="332">
        <f t="shared" si="14"/>
        <v>4.5</v>
      </c>
      <c r="AF5" s="334">
        <v>0</v>
      </c>
      <c r="AG5" s="332" t="str">
        <f t="shared" si="15"/>
        <v>0</v>
      </c>
      <c r="AH5" s="333">
        <v>0.33529999999999999</v>
      </c>
      <c r="AI5" s="332">
        <f t="shared" si="16"/>
        <v>9</v>
      </c>
      <c r="AJ5" s="331">
        <v>1</v>
      </c>
      <c r="AK5" s="331" t="str">
        <f t="shared" si="17"/>
        <v>1</v>
      </c>
      <c r="AL5" s="330">
        <f t="shared" si="18"/>
        <v>81.5</v>
      </c>
      <c r="AM5" s="329" t="s">
        <v>799</v>
      </c>
      <c r="AO5" s="342" t="s">
        <v>796</v>
      </c>
      <c r="AP5" s="341">
        <v>78.25</v>
      </c>
    </row>
    <row r="6" spans="1:42">
      <c r="A6" s="404" t="s">
        <v>793</v>
      </c>
      <c r="B6" s="331">
        <v>1.5</v>
      </c>
      <c r="C6" s="331">
        <f t="shared" si="0"/>
        <v>10.125</v>
      </c>
      <c r="D6" s="299">
        <v>0</v>
      </c>
      <c r="E6" s="331" t="str">
        <f t="shared" si="1"/>
        <v>0</v>
      </c>
      <c r="F6" s="337">
        <v>0.9</v>
      </c>
      <c r="G6" s="331">
        <f t="shared" si="2"/>
        <v>6.75</v>
      </c>
      <c r="H6" s="299">
        <v>0</v>
      </c>
      <c r="I6" s="331" t="str">
        <f t="shared" si="3"/>
        <v>0</v>
      </c>
      <c r="J6" s="340">
        <v>-0.94899999999999995</v>
      </c>
      <c r="K6" s="337">
        <f t="shared" si="4"/>
        <v>1.25</v>
      </c>
      <c r="L6" s="339">
        <v>-3.5999999999999997E-2</v>
      </c>
      <c r="M6" s="337">
        <f t="shared" si="5"/>
        <v>3.75</v>
      </c>
      <c r="N6" s="337">
        <v>549.29</v>
      </c>
      <c r="O6" s="332">
        <f t="shared" si="6"/>
        <v>1.125</v>
      </c>
      <c r="P6" s="331">
        <v>0</v>
      </c>
      <c r="Q6" s="331" t="str">
        <f t="shared" si="7"/>
        <v>0</v>
      </c>
      <c r="R6" s="336">
        <v>8.3400000000000002E-2</v>
      </c>
      <c r="S6" s="337">
        <f t="shared" si="8"/>
        <v>6.75</v>
      </c>
      <c r="T6" s="334">
        <v>1</v>
      </c>
      <c r="U6" s="336" t="str">
        <f t="shared" si="9"/>
        <v>1</v>
      </c>
      <c r="V6" s="338">
        <v>5.1200000000000002E-2</v>
      </c>
      <c r="W6" s="337">
        <f t="shared" si="10"/>
        <v>10.125</v>
      </c>
      <c r="X6" s="334">
        <v>1</v>
      </c>
      <c r="Y6" s="336" t="str">
        <f t="shared" si="11"/>
        <v>1,5</v>
      </c>
      <c r="Z6" s="336">
        <v>1.84E-2</v>
      </c>
      <c r="AA6" s="337">
        <f t="shared" si="12"/>
        <v>10.125</v>
      </c>
      <c r="AB6" s="334">
        <v>1</v>
      </c>
      <c r="AC6" s="336" t="str">
        <f t="shared" si="13"/>
        <v>1,5</v>
      </c>
      <c r="AD6" s="335">
        <v>1.0249999999999999</v>
      </c>
      <c r="AE6" s="332">
        <f t="shared" si="14"/>
        <v>4.5</v>
      </c>
      <c r="AF6" s="334">
        <v>0</v>
      </c>
      <c r="AG6" s="332" t="str">
        <f t="shared" si="15"/>
        <v>0</v>
      </c>
      <c r="AH6" s="333">
        <v>2.76E-2</v>
      </c>
      <c r="AI6" s="332">
        <f t="shared" si="16"/>
        <v>4.5</v>
      </c>
      <c r="AJ6" s="331">
        <v>1</v>
      </c>
      <c r="AK6" s="331" t="str">
        <f t="shared" si="17"/>
        <v>1</v>
      </c>
      <c r="AL6" s="330">
        <f t="shared" si="18"/>
        <v>64</v>
      </c>
      <c r="AM6" s="329" t="s">
        <v>793</v>
      </c>
      <c r="AO6" s="342" t="s">
        <v>794</v>
      </c>
      <c r="AP6" s="341">
        <v>76.6875</v>
      </c>
    </row>
    <row r="7" spans="1:42">
      <c r="A7" s="404" t="s">
        <v>787</v>
      </c>
      <c r="B7" s="349">
        <v>0.9</v>
      </c>
      <c r="C7" s="331">
        <f t="shared" si="0"/>
        <v>10.125</v>
      </c>
      <c r="D7" s="299">
        <v>0</v>
      </c>
      <c r="E7" s="331" t="str">
        <f t="shared" si="1"/>
        <v>0</v>
      </c>
      <c r="F7" s="348">
        <v>0.4</v>
      </c>
      <c r="G7" s="331">
        <f t="shared" si="2"/>
        <v>6.75</v>
      </c>
      <c r="H7" s="299">
        <v>0</v>
      </c>
      <c r="I7" s="331" t="str">
        <f t="shared" si="3"/>
        <v>0</v>
      </c>
      <c r="J7" s="347">
        <v>0.53280000000000005</v>
      </c>
      <c r="K7" s="337">
        <f t="shared" si="4"/>
        <v>5</v>
      </c>
      <c r="L7" s="339">
        <v>-0.30599999999999999</v>
      </c>
      <c r="M7" s="337">
        <f t="shared" si="5"/>
        <v>2.5</v>
      </c>
      <c r="N7" s="337">
        <v>147.75</v>
      </c>
      <c r="O7" s="332">
        <f t="shared" si="6"/>
        <v>2.25</v>
      </c>
      <c r="P7" s="331">
        <v>1</v>
      </c>
      <c r="Q7" s="331" t="str">
        <f t="shared" si="7"/>
        <v>0,50</v>
      </c>
      <c r="R7" s="336">
        <v>7.4099999999999999E-2</v>
      </c>
      <c r="S7" s="337">
        <f t="shared" si="8"/>
        <v>6.75</v>
      </c>
      <c r="T7" s="334">
        <v>0</v>
      </c>
      <c r="U7" s="336" t="str">
        <f t="shared" si="9"/>
        <v>0</v>
      </c>
      <c r="V7" s="338">
        <v>6.8999999999999999E-3</v>
      </c>
      <c r="W7" s="337">
        <f t="shared" si="10"/>
        <v>6.75</v>
      </c>
      <c r="X7" s="334">
        <v>0</v>
      </c>
      <c r="Y7" s="336" t="str">
        <f t="shared" si="11"/>
        <v>0</v>
      </c>
      <c r="Z7" s="336">
        <v>3.7000000000000002E-3</v>
      </c>
      <c r="AA7" s="337">
        <f t="shared" si="12"/>
        <v>10.125</v>
      </c>
      <c r="AB7" s="334">
        <v>0</v>
      </c>
      <c r="AC7" s="336" t="str">
        <f t="shared" si="13"/>
        <v>0</v>
      </c>
      <c r="AD7" s="335">
        <v>1.01</v>
      </c>
      <c r="AE7" s="332">
        <f t="shared" si="14"/>
        <v>3.375</v>
      </c>
      <c r="AF7" s="334">
        <v>0</v>
      </c>
      <c r="AG7" s="332" t="str">
        <f t="shared" si="15"/>
        <v>0</v>
      </c>
      <c r="AH7" s="333">
        <v>2.8199999999999999E-2</v>
      </c>
      <c r="AI7" s="332">
        <f t="shared" si="16"/>
        <v>4.5</v>
      </c>
      <c r="AJ7" s="331">
        <v>1</v>
      </c>
      <c r="AK7" s="331" t="str">
        <f t="shared" si="17"/>
        <v>1</v>
      </c>
      <c r="AL7" s="330">
        <f t="shared" si="18"/>
        <v>59.625</v>
      </c>
      <c r="AM7" s="329" t="s">
        <v>787</v>
      </c>
      <c r="AO7" s="342" t="s">
        <v>799</v>
      </c>
      <c r="AP7" s="341">
        <v>73.75</v>
      </c>
    </row>
    <row r="8" spans="1:42">
      <c r="A8" s="404" t="s">
        <v>796</v>
      </c>
      <c r="B8" s="331">
        <v>11.4</v>
      </c>
      <c r="C8" s="331">
        <f t="shared" si="0"/>
        <v>13.5</v>
      </c>
      <c r="D8" s="299">
        <v>0</v>
      </c>
      <c r="E8" s="331" t="str">
        <f t="shared" si="1"/>
        <v>0</v>
      </c>
      <c r="F8" s="337">
        <v>13.4</v>
      </c>
      <c r="G8" s="331">
        <f t="shared" si="2"/>
        <v>10.125</v>
      </c>
      <c r="H8" s="299">
        <v>0</v>
      </c>
      <c r="I8" s="331" t="str">
        <f t="shared" si="3"/>
        <v>0</v>
      </c>
      <c r="J8" s="346" t="s">
        <v>798</v>
      </c>
      <c r="K8" s="337">
        <f t="shared" si="4"/>
        <v>5</v>
      </c>
      <c r="L8" s="339">
        <v>-6.0000000000000001E-3</v>
      </c>
      <c r="M8" s="337">
        <f t="shared" si="5"/>
        <v>3.75</v>
      </c>
      <c r="N8" s="337">
        <v>315.86</v>
      </c>
      <c r="O8" s="332">
        <f t="shared" si="6"/>
        <v>1.125</v>
      </c>
      <c r="P8" s="331">
        <v>0</v>
      </c>
      <c r="Q8" s="331" t="str">
        <f t="shared" si="7"/>
        <v>0</v>
      </c>
      <c r="R8" s="336">
        <v>0.18490000000000001</v>
      </c>
      <c r="S8" s="337">
        <f t="shared" si="8"/>
        <v>9</v>
      </c>
      <c r="T8" s="334">
        <v>1</v>
      </c>
      <c r="U8" s="336" t="str">
        <f t="shared" si="9"/>
        <v>1</v>
      </c>
      <c r="V8" s="338">
        <v>0.1346</v>
      </c>
      <c r="W8" s="337">
        <f t="shared" si="10"/>
        <v>13.5</v>
      </c>
      <c r="X8" s="334">
        <v>0</v>
      </c>
      <c r="Y8" s="336" t="str">
        <f t="shared" si="11"/>
        <v>0</v>
      </c>
      <c r="Z8" s="336" t="s">
        <v>797</v>
      </c>
      <c r="AA8" s="337">
        <f t="shared" si="12"/>
        <v>13.5</v>
      </c>
      <c r="AB8" s="334">
        <v>0</v>
      </c>
      <c r="AC8" s="336" t="str">
        <f t="shared" si="13"/>
        <v>0</v>
      </c>
      <c r="AD8" s="335">
        <v>1.1599999999999999</v>
      </c>
      <c r="AE8" s="332">
        <f t="shared" si="14"/>
        <v>4.5</v>
      </c>
      <c r="AF8" s="334">
        <v>0</v>
      </c>
      <c r="AG8" s="332" t="str">
        <f t="shared" si="15"/>
        <v>0</v>
      </c>
      <c r="AH8" s="333">
        <v>0.13159999999999999</v>
      </c>
      <c r="AI8" s="332">
        <f t="shared" si="16"/>
        <v>9</v>
      </c>
      <c r="AJ8" s="331">
        <v>1</v>
      </c>
      <c r="AK8" s="331" t="str">
        <f t="shared" si="17"/>
        <v>1</v>
      </c>
      <c r="AL8" s="330">
        <f t="shared" si="18"/>
        <v>85</v>
      </c>
      <c r="AM8" s="329" t="s">
        <v>796</v>
      </c>
      <c r="AO8" s="342" t="s">
        <v>790</v>
      </c>
      <c r="AP8" s="341">
        <v>71.0625</v>
      </c>
    </row>
    <row r="9" spans="1:42">
      <c r="A9" s="404" t="s">
        <v>794</v>
      </c>
      <c r="B9" s="331">
        <v>7.1</v>
      </c>
      <c r="C9" s="331">
        <f t="shared" si="0"/>
        <v>13.5</v>
      </c>
      <c r="D9" s="299">
        <v>0</v>
      </c>
      <c r="E9" s="331" t="str">
        <f t="shared" si="1"/>
        <v>0</v>
      </c>
      <c r="F9" s="337">
        <v>9</v>
      </c>
      <c r="G9" s="331">
        <f t="shared" si="2"/>
        <v>10.125</v>
      </c>
      <c r="H9" s="299">
        <v>0</v>
      </c>
      <c r="I9" s="331" t="str">
        <f t="shared" si="3"/>
        <v>0</v>
      </c>
      <c r="J9" s="340">
        <v>-0.1779</v>
      </c>
      <c r="K9" s="337">
        <f t="shared" si="4"/>
        <v>3.75</v>
      </c>
      <c r="L9" s="339">
        <v>-0.41699999999999998</v>
      </c>
      <c r="M9" s="337">
        <f t="shared" si="5"/>
        <v>2.5</v>
      </c>
      <c r="N9" s="337">
        <v>124.11</v>
      </c>
      <c r="O9" s="332">
        <f t="shared" si="6"/>
        <v>3.375</v>
      </c>
      <c r="P9" s="331">
        <v>0</v>
      </c>
      <c r="Q9" s="331" t="str">
        <f t="shared" si="7"/>
        <v>0</v>
      </c>
      <c r="R9" s="336">
        <v>0.1149</v>
      </c>
      <c r="S9" s="337">
        <f t="shared" si="8"/>
        <v>6.75</v>
      </c>
      <c r="T9" s="334">
        <v>0</v>
      </c>
      <c r="U9" s="336" t="str">
        <f t="shared" si="9"/>
        <v>0</v>
      </c>
      <c r="V9" s="338">
        <v>0.10059999999999999</v>
      </c>
      <c r="W9" s="337">
        <f t="shared" si="10"/>
        <v>13.5</v>
      </c>
      <c r="X9" s="334">
        <v>0</v>
      </c>
      <c r="Y9" s="336" t="str">
        <f t="shared" si="11"/>
        <v>0</v>
      </c>
      <c r="Z9" s="336" t="s">
        <v>795</v>
      </c>
      <c r="AA9" s="337">
        <f t="shared" si="12"/>
        <v>13.5</v>
      </c>
      <c r="AB9" s="334">
        <v>0</v>
      </c>
      <c r="AC9" s="336" t="str">
        <f t="shared" si="13"/>
        <v>0</v>
      </c>
      <c r="AD9" s="335">
        <v>0.11</v>
      </c>
      <c r="AE9" s="332">
        <f t="shared" si="14"/>
        <v>1.125</v>
      </c>
      <c r="AF9" s="334">
        <v>0</v>
      </c>
      <c r="AG9" s="332" t="str">
        <f t="shared" si="15"/>
        <v>0</v>
      </c>
      <c r="AH9" s="333">
        <v>0.13370000000000001</v>
      </c>
      <c r="AI9" s="332">
        <f t="shared" si="16"/>
        <v>9</v>
      </c>
      <c r="AJ9" s="331">
        <v>0</v>
      </c>
      <c r="AK9" s="331" t="str">
        <f t="shared" si="17"/>
        <v>0</v>
      </c>
      <c r="AL9" s="330">
        <f t="shared" si="18"/>
        <v>77.125</v>
      </c>
      <c r="AM9" s="329" t="s">
        <v>794</v>
      </c>
      <c r="AO9" s="342" t="s">
        <v>786</v>
      </c>
      <c r="AP9" s="341">
        <v>69.5625</v>
      </c>
    </row>
    <row r="10" spans="1:42">
      <c r="A10" s="404" t="s">
        <v>789</v>
      </c>
      <c r="B10" s="331">
        <v>0.4</v>
      </c>
      <c r="C10" s="331">
        <f t="shared" si="0"/>
        <v>10.125</v>
      </c>
      <c r="D10" s="299">
        <v>0</v>
      </c>
      <c r="E10" s="331" t="str">
        <f t="shared" si="1"/>
        <v>0</v>
      </c>
      <c r="F10" s="337">
        <v>0.4</v>
      </c>
      <c r="G10" s="331">
        <f t="shared" si="2"/>
        <v>6.75</v>
      </c>
      <c r="H10" s="299">
        <v>0</v>
      </c>
      <c r="I10" s="331" t="str">
        <f t="shared" si="3"/>
        <v>0</v>
      </c>
      <c r="J10" s="340">
        <v>-0.50649999999999995</v>
      </c>
      <c r="K10" s="337">
        <f t="shared" si="4"/>
        <v>2.5</v>
      </c>
      <c r="L10" s="339">
        <v>-0.64500000000000002</v>
      </c>
      <c r="M10" s="337">
        <f t="shared" si="5"/>
        <v>1.25</v>
      </c>
      <c r="N10" s="337">
        <v>180.25</v>
      </c>
      <c r="O10" s="332">
        <f t="shared" si="6"/>
        <v>2.25</v>
      </c>
      <c r="P10" s="331">
        <v>1</v>
      </c>
      <c r="Q10" s="331" t="str">
        <f t="shared" si="7"/>
        <v>0,50</v>
      </c>
      <c r="R10" s="336">
        <v>4.0899999999999999E-2</v>
      </c>
      <c r="S10" s="337">
        <f t="shared" si="8"/>
        <v>6.75</v>
      </c>
      <c r="T10" s="334">
        <v>0</v>
      </c>
      <c r="U10" s="336" t="str">
        <f t="shared" si="9"/>
        <v>0</v>
      </c>
      <c r="V10" s="339">
        <v>-3.5999999999999999E-3</v>
      </c>
      <c r="W10" s="337">
        <f t="shared" si="10"/>
        <v>6.75</v>
      </c>
      <c r="X10" s="334">
        <v>0</v>
      </c>
      <c r="Y10" s="336" t="str">
        <f t="shared" si="11"/>
        <v>0</v>
      </c>
      <c r="Z10" s="336">
        <v>4.1999999999999997E-3</v>
      </c>
      <c r="AA10" s="337">
        <f t="shared" si="12"/>
        <v>10.125</v>
      </c>
      <c r="AB10" s="334">
        <v>0</v>
      </c>
      <c r="AC10" s="336" t="str">
        <f t="shared" si="13"/>
        <v>0</v>
      </c>
      <c r="AD10" s="335">
        <v>1.0049999999999999</v>
      </c>
      <c r="AE10" s="332">
        <f t="shared" si="14"/>
        <v>2.25</v>
      </c>
      <c r="AF10" s="334">
        <v>0</v>
      </c>
      <c r="AG10" s="332" t="str">
        <f t="shared" si="15"/>
        <v>0</v>
      </c>
      <c r="AH10" s="333">
        <v>1.21E-2</v>
      </c>
      <c r="AI10" s="332">
        <f t="shared" si="16"/>
        <v>2.25</v>
      </c>
      <c r="AJ10" s="331">
        <v>1</v>
      </c>
      <c r="AK10" s="331" t="str">
        <f t="shared" si="17"/>
        <v>1</v>
      </c>
      <c r="AL10" s="330">
        <f t="shared" si="18"/>
        <v>52.5</v>
      </c>
      <c r="AM10" s="329" t="s">
        <v>789</v>
      </c>
      <c r="AO10" s="342" t="s">
        <v>793</v>
      </c>
      <c r="AP10" s="341">
        <v>65.8125</v>
      </c>
    </row>
    <row r="11" spans="1:42">
      <c r="A11" s="404" t="s">
        <v>792</v>
      </c>
      <c r="B11" s="345">
        <v>-11.2</v>
      </c>
      <c r="C11" s="331">
        <f t="shared" si="0"/>
        <v>3.375</v>
      </c>
      <c r="D11" s="299">
        <v>0</v>
      </c>
      <c r="E11" s="331" t="str">
        <f t="shared" si="1"/>
        <v>0</v>
      </c>
      <c r="F11" s="337">
        <v>252.4</v>
      </c>
      <c r="G11" s="331">
        <f t="shared" si="2"/>
        <v>13.5</v>
      </c>
      <c r="H11" s="299">
        <v>0</v>
      </c>
      <c r="I11" s="331" t="str">
        <f t="shared" si="3"/>
        <v>0</v>
      </c>
      <c r="J11" s="340">
        <v>-0.14560000000000001</v>
      </c>
      <c r="K11" s="337">
        <f t="shared" si="4"/>
        <v>5</v>
      </c>
      <c r="L11" s="338">
        <v>0.245</v>
      </c>
      <c r="M11" s="337">
        <f t="shared" si="5"/>
        <v>5</v>
      </c>
      <c r="N11" s="337">
        <v>34.869999999999997</v>
      </c>
      <c r="O11" s="332">
        <f t="shared" si="6"/>
        <v>4.5</v>
      </c>
      <c r="P11" s="331">
        <v>1</v>
      </c>
      <c r="Q11" s="331" t="str">
        <f t="shared" si="7"/>
        <v>0,50</v>
      </c>
      <c r="R11" s="343">
        <v>-5.2999999999999999E-2</v>
      </c>
      <c r="S11" s="337">
        <f t="shared" si="8"/>
        <v>4.5</v>
      </c>
      <c r="T11" s="334">
        <v>1</v>
      </c>
      <c r="U11" s="336" t="str">
        <f t="shared" si="9"/>
        <v>1</v>
      </c>
      <c r="V11" s="339">
        <v>-5.0500000000000003E-2</v>
      </c>
      <c r="W11" s="337">
        <f t="shared" si="10"/>
        <v>6.75</v>
      </c>
      <c r="X11" s="334">
        <v>1</v>
      </c>
      <c r="Y11" s="336" t="str">
        <f t="shared" si="11"/>
        <v>1,5</v>
      </c>
      <c r="Z11" s="343">
        <v>-0.1043</v>
      </c>
      <c r="AA11" s="337">
        <f t="shared" si="12"/>
        <v>6.75</v>
      </c>
      <c r="AB11" s="334">
        <v>1</v>
      </c>
      <c r="AC11" s="336" t="str">
        <f t="shared" si="13"/>
        <v>1,5</v>
      </c>
      <c r="AD11" s="335">
        <v>0.91</v>
      </c>
      <c r="AE11" s="332">
        <f t="shared" si="14"/>
        <v>1.125</v>
      </c>
      <c r="AF11" s="334">
        <v>0</v>
      </c>
      <c r="AG11" s="332" t="str">
        <f t="shared" si="15"/>
        <v>0</v>
      </c>
      <c r="AH11" s="333">
        <v>-0.25</v>
      </c>
      <c r="AI11" s="332">
        <f t="shared" si="16"/>
        <v>2.25</v>
      </c>
      <c r="AJ11" s="331">
        <v>0</v>
      </c>
      <c r="AK11" s="331" t="str">
        <f t="shared" si="17"/>
        <v>0</v>
      </c>
      <c r="AL11" s="330">
        <f t="shared" si="18"/>
        <v>57.25</v>
      </c>
      <c r="AM11" s="329" t="s">
        <v>792</v>
      </c>
      <c r="AO11" s="342" t="s">
        <v>792</v>
      </c>
      <c r="AP11" s="341">
        <v>63.8125</v>
      </c>
    </row>
    <row r="12" spans="1:42">
      <c r="A12" s="404" t="s">
        <v>785</v>
      </c>
      <c r="B12" s="345">
        <v>-18.600000000000001</v>
      </c>
      <c r="C12" s="331">
        <f t="shared" si="0"/>
        <v>3.375</v>
      </c>
      <c r="D12" s="299">
        <v>0</v>
      </c>
      <c r="E12" s="331" t="str">
        <f t="shared" si="1"/>
        <v>0</v>
      </c>
      <c r="F12" s="344">
        <v>-65</v>
      </c>
      <c r="G12" s="331">
        <f t="shared" si="2"/>
        <v>3.375</v>
      </c>
      <c r="H12" s="299">
        <v>0</v>
      </c>
      <c r="I12" s="331" t="str">
        <f t="shared" si="3"/>
        <v>0</v>
      </c>
      <c r="J12" s="340">
        <v>-0.65959999999999996</v>
      </c>
      <c r="K12" s="337">
        <f t="shared" si="4"/>
        <v>1.25</v>
      </c>
      <c r="L12" s="339">
        <v>-9.5000000000000001E-2</v>
      </c>
      <c r="M12" s="337">
        <f t="shared" si="5"/>
        <v>2.5</v>
      </c>
      <c r="N12" s="337">
        <v>64.44</v>
      </c>
      <c r="O12" s="332">
        <f t="shared" si="6"/>
        <v>3.375</v>
      </c>
      <c r="P12" s="331">
        <v>0</v>
      </c>
      <c r="Q12" s="331" t="str">
        <f t="shared" si="7"/>
        <v>0</v>
      </c>
      <c r="R12" s="343">
        <v>-9.1499999999999998E-2</v>
      </c>
      <c r="S12" s="337">
        <f t="shared" si="8"/>
        <v>4.5</v>
      </c>
      <c r="T12" s="334">
        <v>0</v>
      </c>
      <c r="U12" s="336" t="str">
        <f t="shared" si="9"/>
        <v>0</v>
      </c>
      <c r="V12" s="339">
        <v>-0.1168</v>
      </c>
      <c r="W12" s="337">
        <f t="shared" si="10"/>
        <v>6.75</v>
      </c>
      <c r="X12" s="334">
        <v>0</v>
      </c>
      <c r="Y12" s="336" t="str">
        <f t="shared" si="11"/>
        <v>0</v>
      </c>
      <c r="Z12" s="343">
        <v>-0.12839999999999999</v>
      </c>
      <c r="AA12" s="337">
        <f t="shared" si="12"/>
        <v>6.75</v>
      </c>
      <c r="AB12" s="334">
        <v>0</v>
      </c>
      <c r="AC12" s="336" t="str">
        <f t="shared" si="13"/>
        <v>0</v>
      </c>
      <c r="AD12" s="335">
        <v>0.88</v>
      </c>
      <c r="AE12" s="332">
        <f t="shared" si="14"/>
        <v>1.125</v>
      </c>
      <c r="AF12" s="334">
        <v>0</v>
      </c>
      <c r="AG12" s="332" t="str">
        <f t="shared" si="15"/>
        <v>0</v>
      </c>
      <c r="AH12" s="333">
        <v>-0.90380000000000005</v>
      </c>
      <c r="AI12" s="332">
        <f t="shared" si="16"/>
        <v>2.25</v>
      </c>
      <c r="AJ12" s="331">
        <v>1</v>
      </c>
      <c r="AK12" s="331" t="str">
        <f t="shared" si="17"/>
        <v>1</v>
      </c>
      <c r="AL12" s="330">
        <f t="shared" si="18"/>
        <v>36.25</v>
      </c>
      <c r="AM12" s="329" t="s">
        <v>785</v>
      </c>
      <c r="AO12" s="342" t="s">
        <v>791</v>
      </c>
      <c r="AP12" s="341">
        <v>55.5625</v>
      </c>
    </row>
    <row r="13" spans="1:42">
      <c r="A13" s="404" t="s">
        <v>790</v>
      </c>
      <c r="B13" s="331">
        <v>2.5</v>
      </c>
      <c r="C13" s="331">
        <f t="shared" si="0"/>
        <v>10.125</v>
      </c>
      <c r="D13" s="299">
        <v>0</v>
      </c>
      <c r="E13" s="331" t="str">
        <f t="shared" si="1"/>
        <v>0</v>
      </c>
      <c r="F13" s="337">
        <v>3</v>
      </c>
      <c r="G13" s="331">
        <f t="shared" si="2"/>
        <v>6.75</v>
      </c>
      <c r="H13" s="299">
        <v>1</v>
      </c>
      <c r="I13" s="331" t="str">
        <f t="shared" si="3"/>
        <v>1,5</v>
      </c>
      <c r="J13" s="340">
        <v>-2.8795000000000002</v>
      </c>
      <c r="K13" s="337">
        <f t="shared" si="4"/>
        <v>1.25</v>
      </c>
      <c r="L13" s="338">
        <v>0.72</v>
      </c>
      <c r="M13" s="337">
        <f t="shared" si="5"/>
        <v>5</v>
      </c>
      <c r="N13" s="337">
        <v>49.52</v>
      </c>
      <c r="O13" s="332">
        <f t="shared" si="6"/>
        <v>4.5</v>
      </c>
      <c r="P13" s="331">
        <v>0</v>
      </c>
      <c r="Q13" s="331" t="str">
        <f t="shared" si="7"/>
        <v>0</v>
      </c>
      <c r="R13" s="336">
        <v>5.1700000000000003E-2</v>
      </c>
      <c r="S13" s="337">
        <f t="shared" si="8"/>
        <v>6.75</v>
      </c>
      <c r="T13" s="334">
        <v>1</v>
      </c>
      <c r="U13" s="336" t="str">
        <f t="shared" si="9"/>
        <v>1</v>
      </c>
      <c r="V13" s="338">
        <v>3.5200000000000002E-2</v>
      </c>
      <c r="W13" s="337">
        <f t="shared" si="10"/>
        <v>10.125</v>
      </c>
      <c r="X13" s="334">
        <v>1</v>
      </c>
      <c r="Y13" s="336" t="str">
        <f t="shared" si="11"/>
        <v>1,5</v>
      </c>
      <c r="Z13" s="336">
        <v>1.5100000000000001E-2</v>
      </c>
      <c r="AA13" s="337">
        <f t="shared" si="12"/>
        <v>10.125</v>
      </c>
      <c r="AB13" s="334">
        <v>1</v>
      </c>
      <c r="AC13" s="336" t="str">
        <f t="shared" si="13"/>
        <v>1,5</v>
      </c>
      <c r="AD13" s="335">
        <v>1.01</v>
      </c>
      <c r="AE13" s="332">
        <f t="shared" si="14"/>
        <v>3.375</v>
      </c>
      <c r="AF13" s="334">
        <v>0</v>
      </c>
      <c r="AG13" s="332" t="str">
        <f t="shared" si="15"/>
        <v>0</v>
      </c>
      <c r="AH13" s="333">
        <v>8.0199999999999994E-2</v>
      </c>
      <c r="AI13" s="332">
        <f t="shared" si="16"/>
        <v>6.75</v>
      </c>
      <c r="AJ13" s="331">
        <v>0</v>
      </c>
      <c r="AK13" s="331" t="str">
        <f t="shared" si="17"/>
        <v>0</v>
      </c>
      <c r="AL13" s="330">
        <f t="shared" si="18"/>
        <v>70.25</v>
      </c>
      <c r="AM13" s="329" t="s">
        <v>790</v>
      </c>
      <c r="AO13" s="342" t="s">
        <v>789</v>
      </c>
      <c r="AP13" s="341">
        <v>55.4375</v>
      </c>
    </row>
    <row r="14" spans="1:42">
      <c r="A14" s="404" t="s">
        <v>788</v>
      </c>
      <c r="B14" s="331">
        <v>1.6</v>
      </c>
      <c r="C14" s="331">
        <f t="shared" si="0"/>
        <v>10.125</v>
      </c>
      <c r="D14" s="299">
        <v>1</v>
      </c>
      <c r="E14" s="331" t="str">
        <f t="shared" si="1"/>
        <v>1,5</v>
      </c>
      <c r="F14" s="337">
        <v>7.2</v>
      </c>
      <c r="G14" s="331">
        <f t="shared" si="2"/>
        <v>10.125</v>
      </c>
      <c r="H14" s="299">
        <v>1</v>
      </c>
      <c r="I14" s="331" t="str">
        <f t="shared" si="3"/>
        <v>1,5</v>
      </c>
      <c r="J14" s="340">
        <v>-6.0699999999999997E-2</v>
      </c>
      <c r="K14" s="337">
        <f t="shared" si="4"/>
        <v>5</v>
      </c>
      <c r="L14" s="338">
        <v>5.1929999999999996</v>
      </c>
      <c r="M14" s="337">
        <f t="shared" si="5"/>
        <v>5</v>
      </c>
      <c r="N14" s="337">
        <v>22.1</v>
      </c>
      <c r="O14" s="332">
        <f t="shared" si="6"/>
        <v>4.5</v>
      </c>
      <c r="P14" s="331">
        <v>0</v>
      </c>
      <c r="Q14" s="331" t="str">
        <f t="shared" si="7"/>
        <v>0</v>
      </c>
      <c r="R14" s="336">
        <v>1.7100000000000001E-2</v>
      </c>
      <c r="S14" s="337">
        <f t="shared" si="8"/>
        <v>4.5</v>
      </c>
      <c r="T14" s="334">
        <v>1</v>
      </c>
      <c r="U14" s="336" t="str">
        <f t="shared" si="9"/>
        <v>1</v>
      </c>
      <c r="V14" s="338">
        <v>1E-3</v>
      </c>
      <c r="W14" s="337">
        <f t="shared" si="10"/>
        <v>6.75</v>
      </c>
      <c r="X14" s="334">
        <v>1</v>
      </c>
      <c r="Y14" s="336" t="str">
        <f t="shared" si="11"/>
        <v>1,5</v>
      </c>
      <c r="Z14" s="336">
        <v>5.1999999999999998E-3</v>
      </c>
      <c r="AA14" s="337">
        <f t="shared" si="12"/>
        <v>10.125</v>
      </c>
      <c r="AB14" s="334">
        <v>1</v>
      </c>
      <c r="AC14" s="336" t="str">
        <f t="shared" si="13"/>
        <v>1,5</v>
      </c>
      <c r="AD14" s="335">
        <v>1.006</v>
      </c>
      <c r="AE14" s="332">
        <f t="shared" si="14"/>
        <v>3.375</v>
      </c>
      <c r="AF14" s="334">
        <v>0</v>
      </c>
      <c r="AG14" s="332" t="str">
        <f t="shared" si="15"/>
        <v>0</v>
      </c>
      <c r="AH14" s="333">
        <v>7.4499999999999997E-2</v>
      </c>
      <c r="AI14" s="332">
        <f t="shared" si="16"/>
        <v>6.75</v>
      </c>
      <c r="AJ14" s="331">
        <v>0</v>
      </c>
      <c r="AK14" s="331" t="str">
        <f t="shared" si="17"/>
        <v>0</v>
      </c>
      <c r="AL14" s="330">
        <f t="shared" si="18"/>
        <v>73.25</v>
      </c>
      <c r="AM14" s="329" t="s">
        <v>788</v>
      </c>
      <c r="AO14" s="342" t="s">
        <v>787</v>
      </c>
      <c r="AP14" s="341">
        <v>54.375</v>
      </c>
    </row>
    <row r="15" spans="1:42" ht="16.5" thickBot="1">
      <c r="A15" s="404" t="s">
        <v>786</v>
      </c>
      <c r="B15" s="331">
        <v>2.8</v>
      </c>
      <c r="C15" s="331">
        <f t="shared" si="0"/>
        <v>10.125</v>
      </c>
      <c r="D15" s="299">
        <v>0</v>
      </c>
      <c r="E15" s="331" t="str">
        <f t="shared" si="1"/>
        <v>0</v>
      </c>
      <c r="F15" s="337">
        <v>0.2</v>
      </c>
      <c r="G15" s="331">
        <f t="shared" si="2"/>
        <v>6.75</v>
      </c>
      <c r="H15" s="299">
        <v>0</v>
      </c>
      <c r="I15" s="331" t="str">
        <f t="shared" si="3"/>
        <v>0</v>
      </c>
      <c r="J15" s="340">
        <v>-0.22259999999999999</v>
      </c>
      <c r="K15" s="337">
        <f t="shared" si="4"/>
        <v>3.75</v>
      </c>
      <c r="L15" s="339">
        <v>-0.86399999999999999</v>
      </c>
      <c r="M15" s="337">
        <f t="shared" si="5"/>
        <v>1.25</v>
      </c>
      <c r="N15" s="337">
        <v>110.34</v>
      </c>
      <c r="O15" s="332">
        <f t="shared" si="6"/>
        <v>3.375</v>
      </c>
      <c r="P15" s="331">
        <v>1</v>
      </c>
      <c r="Q15" s="331" t="str">
        <f t="shared" si="7"/>
        <v>0,50</v>
      </c>
      <c r="R15" s="336">
        <v>0.105</v>
      </c>
      <c r="S15" s="337">
        <f t="shared" si="8"/>
        <v>6.75</v>
      </c>
      <c r="T15" s="334">
        <v>0</v>
      </c>
      <c r="U15" s="336" t="str">
        <f t="shared" si="9"/>
        <v>0</v>
      </c>
      <c r="V15" s="338">
        <v>0.10780000000000001</v>
      </c>
      <c r="W15" s="337">
        <f t="shared" si="10"/>
        <v>13.5</v>
      </c>
      <c r="X15" s="334">
        <v>1</v>
      </c>
      <c r="Y15" s="336" t="str">
        <f t="shared" si="11"/>
        <v>1,5</v>
      </c>
      <c r="Z15" s="336">
        <v>2.5999999999999999E-3</v>
      </c>
      <c r="AA15" s="337">
        <f t="shared" si="12"/>
        <v>10.125</v>
      </c>
      <c r="AB15" s="334">
        <v>0</v>
      </c>
      <c r="AC15" s="336" t="str">
        <f t="shared" si="13"/>
        <v>0</v>
      </c>
      <c r="AD15" s="335">
        <v>1.004</v>
      </c>
      <c r="AE15" s="332">
        <f t="shared" si="14"/>
        <v>2.25</v>
      </c>
      <c r="AF15" s="334">
        <v>0</v>
      </c>
      <c r="AG15" s="332" t="str">
        <f t="shared" si="15"/>
        <v>0</v>
      </c>
      <c r="AH15" s="333">
        <v>5.2299999999999999E-2</v>
      </c>
      <c r="AI15" s="332">
        <f t="shared" si="16"/>
        <v>6.75</v>
      </c>
      <c r="AJ15" s="331">
        <v>1</v>
      </c>
      <c r="AK15" s="331" t="str">
        <f t="shared" si="17"/>
        <v>1</v>
      </c>
      <c r="AL15" s="330">
        <f t="shared" si="18"/>
        <v>67.625</v>
      </c>
      <c r="AM15" s="329" t="s">
        <v>786</v>
      </c>
      <c r="AO15" s="328" t="s">
        <v>785</v>
      </c>
      <c r="AP15" s="327">
        <v>28.9375</v>
      </c>
    </row>
    <row r="16" spans="1:42" ht="16.5" thickTop="1"/>
    <row r="17" spans="1:37" ht="18.75">
      <c r="A17" s="267" t="s">
        <v>60</v>
      </c>
      <c r="B17" s="267" t="s">
        <v>59</v>
      </c>
      <c r="C17" s="267"/>
      <c r="D17" s="267"/>
      <c r="E17" s="267"/>
      <c r="F17" s="267" t="s">
        <v>58</v>
      </c>
      <c r="G17" s="267"/>
      <c r="H17" s="266"/>
      <c r="I17" s="266"/>
      <c r="J17" s="266"/>
      <c r="K17" s="266"/>
      <c r="L17" s="266" t="s">
        <v>57</v>
      </c>
      <c r="M17" s="266"/>
    </row>
    <row r="18" spans="1:37" ht="17.25">
      <c r="A18" s="265" t="s">
        <v>56</v>
      </c>
      <c r="B18" s="256">
        <v>13.5</v>
      </c>
      <c r="C18" s="256"/>
      <c r="D18" s="264"/>
      <c r="E18" s="264"/>
      <c r="F18" s="256">
        <f>L18-B18</f>
        <v>1.5</v>
      </c>
      <c r="G18" s="256"/>
      <c r="H18" s="262"/>
      <c r="I18" s="262"/>
      <c r="J18" s="262"/>
      <c r="K18" s="262"/>
      <c r="L18" s="256">
        <v>15</v>
      </c>
      <c r="M18" s="256"/>
      <c r="W18" s="252"/>
      <c r="AA18" s="252"/>
      <c r="AD18" s="262"/>
    </row>
    <row r="19" spans="1:37">
      <c r="A19" s="252" t="s">
        <v>657</v>
      </c>
      <c r="B19" s="250">
        <f>B18*0.25</f>
        <v>3.375</v>
      </c>
      <c r="C19" s="250"/>
      <c r="D19" s="250"/>
      <c r="E19" s="250"/>
      <c r="F19" s="250" t="s">
        <v>7</v>
      </c>
      <c r="G19" s="250"/>
      <c r="H19" s="236">
        <v>1.5</v>
      </c>
      <c r="S19" s="252"/>
      <c r="W19" s="252"/>
      <c r="AA19" s="252"/>
    </row>
    <row r="20" spans="1:37">
      <c r="A20" s="252" t="s">
        <v>656</v>
      </c>
      <c r="B20" s="250">
        <f>B18*0.5</f>
        <v>6.75</v>
      </c>
      <c r="C20" s="250"/>
      <c r="D20" s="250"/>
      <c r="E20" s="250"/>
      <c r="F20" s="250" t="s">
        <v>4</v>
      </c>
      <c r="G20" s="250"/>
      <c r="H20" s="236">
        <v>0</v>
      </c>
      <c r="S20" s="252"/>
      <c r="W20" s="252"/>
      <c r="AA20" s="252"/>
      <c r="AK20" s="326"/>
    </row>
    <row r="21" spans="1:37">
      <c r="A21" s="252" t="s">
        <v>655</v>
      </c>
      <c r="B21" s="250">
        <f>B18*0.75</f>
        <v>10.125</v>
      </c>
      <c r="C21" s="250"/>
      <c r="D21" s="250"/>
      <c r="E21" s="250"/>
      <c r="F21" s="250"/>
      <c r="G21" s="250"/>
      <c r="S21" s="252"/>
      <c r="W21" s="252"/>
      <c r="AA21" s="252"/>
      <c r="AK21" s="326"/>
    </row>
    <row r="22" spans="1:37">
      <c r="A22" s="252" t="s">
        <v>654</v>
      </c>
      <c r="B22" s="250">
        <f>B18*1</f>
        <v>13.5</v>
      </c>
      <c r="C22" s="250"/>
      <c r="D22" s="250"/>
      <c r="E22" s="250"/>
      <c r="F22" s="250"/>
      <c r="G22" s="250"/>
      <c r="S22" s="252"/>
    </row>
    <row r="23" spans="1:37">
      <c r="A23" s="252"/>
      <c r="B23" s="250"/>
      <c r="C23" s="250"/>
      <c r="D23" s="250"/>
      <c r="E23" s="250"/>
      <c r="F23" s="250"/>
      <c r="G23" s="250"/>
    </row>
    <row r="24" spans="1:37" ht="17.25">
      <c r="A24" s="260" t="s">
        <v>51</v>
      </c>
      <c r="B24" s="256">
        <v>13.5</v>
      </c>
      <c r="C24" s="250"/>
      <c r="D24" s="250"/>
      <c r="E24" s="250"/>
      <c r="F24" s="250"/>
      <c r="G24" s="250"/>
    </row>
    <row r="25" spans="1:37">
      <c r="A25" s="252" t="s">
        <v>653</v>
      </c>
      <c r="B25" s="250">
        <f>B24*0.25</f>
        <v>3.375</v>
      </c>
      <c r="C25" s="256"/>
      <c r="D25" s="264"/>
      <c r="E25" s="264"/>
      <c r="F25" s="256">
        <f>L25-B24</f>
        <v>1.5</v>
      </c>
      <c r="G25" s="256"/>
      <c r="H25" s="262"/>
      <c r="I25" s="262"/>
      <c r="J25" s="262"/>
      <c r="K25" s="262"/>
      <c r="L25" s="256">
        <v>15</v>
      </c>
      <c r="M25" s="256"/>
    </row>
    <row r="26" spans="1:37">
      <c r="A26" s="252" t="s">
        <v>652</v>
      </c>
      <c r="B26" s="250">
        <f>B24*0.5</f>
        <v>6.75</v>
      </c>
      <c r="C26" s="250"/>
      <c r="D26" s="250"/>
      <c r="E26" s="250"/>
      <c r="F26" s="250" t="s">
        <v>7</v>
      </c>
      <c r="G26" s="250"/>
      <c r="H26" s="236">
        <v>1.5</v>
      </c>
    </row>
    <row r="27" spans="1:37">
      <c r="A27" s="252" t="s">
        <v>651</v>
      </c>
      <c r="B27" s="250">
        <f>B24*0.75</f>
        <v>10.125</v>
      </c>
      <c r="C27" s="250"/>
      <c r="D27" s="250"/>
      <c r="E27" s="250"/>
      <c r="F27" s="250" t="s">
        <v>4</v>
      </c>
      <c r="G27" s="250"/>
      <c r="H27" s="236">
        <v>0</v>
      </c>
    </row>
    <row r="28" spans="1:37">
      <c r="A28" s="252" t="s">
        <v>650</v>
      </c>
      <c r="B28" s="250">
        <f>B24*1</f>
        <v>13.5</v>
      </c>
      <c r="C28" s="250"/>
      <c r="D28" s="250"/>
      <c r="E28" s="250"/>
      <c r="F28" s="250"/>
      <c r="G28" s="250"/>
    </row>
    <row r="29" spans="1:37">
      <c r="A29" s="252"/>
      <c r="B29" s="250"/>
      <c r="C29" s="250"/>
      <c r="D29" s="250"/>
      <c r="E29" s="250"/>
      <c r="F29" s="250"/>
      <c r="G29" s="250"/>
    </row>
    <row r="30" spans="1:37">
      <c r="A30" s="252"/>
      <c r="B30" s="250"/>
      <c r="C30" s="250"/>
      <c r="D30" s="250"/>
      <c r="E30" s="250"/>
      <c r="F30" s="250"/>
      <c r="G30" s="250"/>
    </row>
    <row r="31" spans="1:37" ht="17.25">
      <c r="A31" s="260" t="s">
        <v>46</v>
      </c>
      <c r="B31" s="324">
        <v>5</v>
      </c>
      <c r="C31" s="315" t="s">
        <v>10</v>
      </c>
      <c r="D31" s="325"/>
      <c r="E31" s="250"/>
      <c r="F31" s="250"/>
      <c r="G31" s="250"/>
      <c r="L31" s="249">
        <v>5</v>
      </c>
      <c r="M31" s="249"/>
    </row>
    <row r="32" spans="1:37">
      <c r="A32" s="236" t="s">
        <v>784</v>
      </c>
      <c r="B32" s="322">
        <v>1.25</v>
      </c>
      <c r="C32" s="313" t="s">
        <v>8</v>
      </c>
      <c r="D32" s="321">
        <f>QUARTILE(J4:J15,1)</f>
        <v>-0.62132499999999991</v>
      </c>
      <c r="E32" s="250"/>
      <c r="F32" s="250"/>
      <c r="G32" s="250"/>
    </row>
    <row r="33" spans="1:13">
      <c r="A33" s="236" t="s">
        <v>783</v>
      </c>
      <c r="B33" s="322">
        <v>2.5</v>
      </c>
      <c r="C33" s="313" t="s">
        <v>5</v>
      </c>
      <c r="D33" s="321">
        <f>QUARTILE(J4:J15,2)</f>
        <v>-0.25564999999999999</v>
      </c>
      <c r="E33" s="250"/>
      <c r="F33" s="250"/>
      <c r="G33" s="250"/>
    </row>
    <row r="34" spans="1:13">
      <c r="A34" s="236" t="s">
        <v>782</v>
      </c>
      <c r="B34" s="322">
        <v>3.75</v>
      </c>
      <c r="C34" s="313" t="s">
        <v>2</v>
      </c>
      <c r="D34" s="321">
        <f>QUARTILE(J4:J15,3)</f>
        <v>-0.15367500000000001</v>
      </c>
      <c r="E34" s="250"/>
      <c r="F34" s="250"/>
      <c r="G34" s="250"/>
    </row>
    <row r="35" spans="1:13">
      <c r="A35" s="236" t="s">
        <v>781</v>
      </c>
      <c r="B35" s="320">
        <v>5</v>
      </c>
      <c r="C35" s="311"/>
      <c r="D35" s="310"/>
      <c r="E35" s="250"/>
      <c r="F35" s="250"/>
      <c r="G35" s="250"/>
    </row>
    <row r="36" spans="1:13">
      <c r="A36" s="252"/>
      <c r="B36" s="250"/>
      <c r="C36" s="250"/>
      <c r="D36" s="250"/>
      <c r="E36" s="250"/>
      <c r="F36" s="250"/>
      <c r="G36" s="250"/>
    </row>
    <row r="37" spans="1:13" ht="17.25">
      <c r="A37" s="260" t="s">
        <v>41</v>
      </c>
      <c r="B37" s="324">
        <v>5</v>
      </c>
      <c r="C37" s="315" t="s">
        <v>10</v>
      </c>
      <c r="D37" s="323"/>
      <c r="E37" s="250"/>
      <c r="F37" s="250"/>
      <c r="G37" s="250"/>
      <c r="L37" s="249">
        <v>5</v>
      </c>
      <c r="M37" s="249"/>
    </row>
    <row r="38" spans="1:13">
      <c r="A38" s="236" t="s">
        <v>780</v>
      </c>
      <c r="B38" s="322">
        <v>1.25</v>
      </c>
      <c r="C38" s="313" t="s">
        <v>8</v>
      </c>
      <c r="D38" s="321">
        <f>QUARTILE(L4:L15,1)</f>
        <v>-0.441</v>
      </c>
      <c r="E38" s="250"/>
      <c r="F38" s="250"/>
      <c r="G38" s="250"/>
    </row>
    <row r="39" spans="1:13">
      <c r="A39" s="236" t="s">
        <v>779</v>
      </c>
      <c r="B39" s="322">
        <v>2.5</v>
      </c>
      <c r="C39" s="313" t="s">
        <v>5</v>
      </c>
      <c r="D39" s="321">
        <f>QUARTILE(L4:L15,2)</f>
        <v>-8.2500000000000004E-2</v>
      </c>
      <c r="E39" s="250"/>
      <c r="F39" s="250"/>
      <c r="G39" s="250"/>
    </row>
    <row r="40" spans="1:13">
      <c r="A40" s="236" t="s">
        <v>778</v>
      </c>
      <c r="B40" s="322">
        <v>3.75</v>
      </c>
      <c r="C40" s="313" t="s">
        <v>2</v>
      </c>
      <c r="D40" s="321">
        <f>QUARTILE(L4:L15,3)</f>
        <v>5.6750000000000002E-2</v>
      </c>
      <c r="E40" s="250"/>
      <c r="F40" s="250"/>
      <c r="G40" s="250"/>
    </row>
    <row r="41" spans="1:13">
      <c r="A41" s="236" t="s">
        <v>777</v>
      </c>
      <c r="B41" s="320">
        <v>5</v>
      </c>
      <c r="C41" s="311"/>
      <c r="D41" s="317"/>
      <c r="E41" s="250"/>
      <c r="F41" s="250"/>
      <c r="G41" s="250"/>
    </row>
    <row r="42" spans="1:13">
      <c r="A42" s="252"/>
      <c r="B42" s="250"/>
      <c r="C42" s="250"/>
      <c r="D42" s="276"/>
      <c r="E42" s="250"/>
      <c r="F42" s="250"/>
      <c r="G42" s="250"/>
    </row>
    <row r="43" spans="1:13" ht="17.25">
      <c r="A43" s="257" t="s">
        <v>36</v>
      </c>
      <c r="B43" s="256">
        <v>4.5</v>
      </c>
      <c r="C43" s="315" t="s">
        <v>10</v>
      </c>
      <c r="D43" s="319"/>
      <c r="E43" s="254"/>
      <c r="F43" s="256">
        <f>L43-B43</f>
        <v>0.5</v>
      </c>
      <c r="G43" s="254"/>
      <c r="H43" s="258"/>
      <c r="I43" s="258"/>
      <c r="J43" s="258"/>
      <c r="K43" s="258"/>
      <c r="L43" s="254">
        <v>5</v>
      </c>
      <c r="M43" s="254"/>
    </row>
    <row r="44" spans="1:13">
      <c r="A44" s="236" t="s">
        <v>776</v>
      </c>
      <c r="B44" s="250">
        <f>B43*1</f>
        <v>4.5</v>
      </c>
      <c r="C44" s="313" t="s">
        <v>8</v>
      </c>
      <c r="D44" s="318">
        <f>QUARTILE(N4:N15,1)</f>
        <v>60.71</v>
      </c>
      <c r="E44" s="250"/>
      <c r="F44" s="250" t="s">
        <v>7</v>
      </c>
      <c r="G44" s="250"/>
      <c r="H44" s="236">
        <v>0.5</v>
      </c>
    </row>
    <row r="45" spans="1:13">
      <c r="A45" s="236" t="s">
        <v>775</v>
      </c>
      <c r="B45" s="250">
        <f>B43*0.75</f>
        <v>3.375</v>
      </c>
      <c r="C45" s="313" t="s">
        <v>5</v>
      </c>
      <c r="D45" s="318">
        <f>QUARTILE(N4:N15,2)</f>
        <v>135.93</v>
      </c>
      <c r="E45" s="250"/>
      <c r="F45" s="250" t="s">
        <v>4</v>
      </c>
      <c r="G45" s="250"/>
      <c r="H45" s="236">
        <v>0</v>
      </c>
    </row>
    <row r="46" spans="1:13">
      <c r="A46" s="236" t="s">
        <v>774</v>
      </c>
      <c r="B46" s="250">
        <f>B43*0.5</f>
        <v>2.25</v>
      </c>
      <c r="C46" s="313" t="s">
        <v>2</v>
      </c>
      <c r="D46" s="318">
        <f>QUARTILE(N4:N15,3)</f>
        <v>183.9725</v>
      </c>
      <c r="E46" s="250"/>
      <c r="F46" s="250"/>
      <c r="G46" s="250"/>
    </row>
    <row r="47" spans="1:13">
      <c r="A47" s="236" t="s">
        <v>773</v>
      </c>
      <c r="B47" s="250">
        <f>B43*0.25</f>
        <v>1.125</v>
      </c>
      <c r="C47" s="311"/>
      <c r="D47" s="317"/>
      <c r="E47" s="250"/>
      <c r="F47" s="250"/>
      <c r="G47" s="250"/>
    </row>
    <row r="48" spans="1:13">
      <c r="A48" s="252"/>
      <c r="B48" s="250"/>
      <c r="C48" s="250"/>
      <c r="D48" s="250"/>
      <c r="E48" s="250"/>
      <c r="F48" s="250"/>
      <c r="G48" s="250"/>
    </row>
    <row r="49" spans="1:13" ht="17.25">
      <c r="A49" s="257" t="s">
        <v>31</v>
      </c>
      <c r="B49" s="256">
        <v>9</v>
      </c>
      <c r="C49" s="254"/>
      <c r="D49" s="254"/>
      <c r="E49" s="254"/>
      <c r="F49" s="256">
        <f>L49-B49</f>
        <v>1</v>
      </c>
      <c r="G49" s="254"/>
      <c r="H49" s="258"/>
      <c r="I49" s="258"/>
      <c r="J49" s="258"/>
      <c r="K49" s="258"/>
      <c r="L49" s="254">
        <v>10</v>
      </c>
      <c r="M49" s="254"/>
    </row>
    <row r="50" spans="1:13">
      <c r="A50" s="252" t="s">
        <v>637</v>
      </c>
      <c r="B50" s="250">
        <f>B49*0.25</f>
        <v>2.25</v>
      </c>
      <c r="C50" s="250"/>
      <c r="D50" s="250"/>
      <c r="E50" s="250"/>
      <c r="F50" s="250" t="s">
        <v>7</v>
      </c>
      <c r="G50" s="250"/>
      <c r="H50" s="236">
        <v>1</v>
      </c>
    </row>
    <row r="51" spans="1:13">
      <c r="A51" s="252" t="s">
        <v>636</v>
      </c>
      <c r="B51" s="250">
        <f>B49*0.5</f>
        <v>4.5</v>
      </c>
      <c r="C51" s="250"/>
      <c r="D51" s="250"/>
      <c r="E51" s="250"/>
      <c r="F51" s="250" t="s">
        <v>4</v>
      </c>
      <c r="G51" s="250"/>
      <c r="H51" s="236">
        <v>0</v>
      </c>
    </row>
    <row r="52" spans="1:13">
      <c r="A52" s="252" t="s">
        <v>635</v>
      </c>
      <c r="B52" s="250">
        <f>B49*0.75</f>
        <v>6.75</v>
      </c>
      <c r="C52" s="250"/>
      <c r="D52" s="250"/>
      <c r="E52" s="250"/>
      <c r="F52" s="250"/>
      <c r="G52" s="250"/>
    </row>
    <row r="53" spans="1:13">
      <c r="A53" s="252" t="s">
        <v>634</v>
      </c>
      <c r="B53" s="250">
        <f>B49*1</f>
        <v>9</v>
      </c>
      <c r="C53" s="250"/>
      <c r="D53" s="250"/>
      <c r="E53" s="250"/>
      <c r="F53" s="250"/>
      <c r="G53" s="250"/>
    </row>
    <row r="54" spans="1:13">
      <c r="A54" s="252"/>
      <c r="B54" s="250"/>
      <c r="C54" s="250"/>
      <c r="D54" s="250"/>
      <c r="E54" s="250"/>
      <c r="F54" s="250"/>
      <c r="G54" s="250"/>
    </row>
    <row r="55" spans="1:13" ht="17.25">
      <c r="A55" s="257" t="s">
        <v>26</v>
      </c>
      <c r="B55" s="256">
        <v>13.5</v>
      </c>
      <c r="C55" s="254"/>
      <c r="D55" s="254"/>
      <c r="E55" s="254"/>
      <c r="F55" s="256">
        <f>L55-B55</f>
        <v>1.5</v>
      </c>
      <c r="G55" s="254"/>
      <c r="H55" s="258"/>
      <c r="I55" s="258"/>
      <c r="J55" s="258"/>
      <c r="K55" s="258"/>
      <c r="L55" s="254">
        <v>15</v>
      </c>
      <c r="M55" s="254"/>
    </row>
    <row r="56" spans="1:13">
      <c r="A56" s="252" t="s">
        <v>633</v>
      </c>
      <c r="B56" s="250">
        <f>B55*0.25</f>
        <v>3.375</v>
      </c>
      <c r="C56" s="250"/>
      <c r="D56" s="250"/>
      <c r="E56" s="250"/>
      <c r="F56" s="250" t="s">
        <v>7</v>
      </c>
      <c r="G56" s="250"/>
      <c r="H56" s="236">
        <v>1.5</v>
      </c>
    </row>
    <row r="57" spans="1:13">
      <c r="A57" s="252" t="s">
        <v>632</v>
      </c>
      <c r="B57" s="250">
        <f>B55*0.5</f>
        <v>6.75</v>
      </c>
      <c r="C57" s="250"/>
      <c r="D57" s="250"/>
      <c r="E57" s="250"/>
      <c r="F57" s="250" t="s">
        <v>4</v>
      </c>
      <c r="G57" s="250"/>
      <c r="H57" s="236">
        <v>0</v>
      </c>
    </row>
    <row r="58" spans="1:13">
      <c r="A58" s="252" t="s">
        <v>631</v>
      </c>
      <c r="B58" s="250">
        <f>B55*0.75</f>
        <v>10.125</v>
      </c>
      <c r="C58" s="250"/>
      <c r="D58" s="250"/>
      <c r="E58" s="250"/>
      <c r="F58" s="250"/>
      <c r="G58" s="250"/>
    </row>
    <row r="59" spans="1:13">
      <c r="A59" s="252" t="s">
        <v>630</v>
      </c>
      <c r="B59" s="250">
        <f>B55*1</f>
        <v>13.5</v>
      </c>
      <c r="C59" s="250"/>
      <c r="D59" s="250"/>
      <c r="E59" s="250"/>
      <c r="F59" s="250"/>
      <c r="G59" s="250"/>
    </row>
    <row r="60" spans="1:13">
      <c r="A60" s="252"/>
      <c r="B60" s="250"/>
      <c r="C60" s="250"/>
      <c r="D60" s="250"/>
      <c r="E60" s="250"/>
      <c r="F60" s="250"/>
      <c r="G60" s="250"/>
    </row>
    <row r="61" spans="1:13" ht="17.25">
      <c r="A61" s="257" t="s">
        <v>21</v>
      </c>
      <c r="B61" s="256">
        <v>13.5</v>
      </c>
      <c r="C61" s="254"/>
      <c r="D61" s="254"/>
      <c r="E61" s="254"/>
      <c r="F61" s="256">
        <f>L61-B61</f>
        <v>1.5</v>
      </c>
      <c r="G61" s="254"/>
      <c r="H61" s="258"/>
      <c r="I61" s="258"/>
      <c r="J61" s="258"/>
      <c r="K61" s="258"/>
      <c r="L61" s="254">
        <v>15</v>
      </c>
      <c r="M61" s="254"/>
    </row>
    <row r="62" spans="1:13">
      <c r="A62" s="252" t="s">
        <v>629</v>
      </c>
      <c r="B62" s="250">
        <f>B61*0.25</f>
        <v>3.375</v>
      </c>
      <c r="C62" s="250"/>
      <c r="D62" s="250"/>
      <c r="E62" s="250"/>
      <c r="F62" s="250" t="s">
        <v>7</v>
      </c>
      <c r="G62" s="250"/>
      <c r="H62" s="236">
        <v>1.5</v>
      </c>
    </row>
    <row r="63" spans="1:13">
      <c r="A63" s="252" t="s">
        <v>628</v>
      </c>
      <c r="B63" s="250">
        <f>B61*0.5</f>
        <v>6.75</v>
      </c>
      <c r="C63" s="250"/>
      <c r="D63" s="250"/>
      <c r="E63" s="250"/>
      <c r="F63" s="250" t="s">
        <v>4</v>
      </c>
      <c r="G63" s="250"/>
      <c r="H63" s="236">
        <v>0</v>
      </c>
    </row>
    <row r="64" spans="1:13">
      <c r="A64" s="252" t="s">
        <v>627</v>
      </c>
      <c r="B64" s="250">
        <f>B61*0.75</f>
        <v>10.125</v>
      </c>
      <c r="C64" s="250"/>
      <c r="D64" s="250"/>
      <c r="E64" s="250"/>
      <c r="F64" s="250"/>
      <c r="G64" s="250"/>
    </row>
    <row r="65" spans="1:13">
      <c r="A65" s="252" t="s">
        <v>626</v>
      </c>
      <c r="B65" s="250">
        <f>B61*1</f>
        <v>13.5</v>
      </c>
      <c r="C65" s="250"/>
      <c r="D65" s="250"/>
      <c r="E65" s="250"/>
      <c r="F65" s="250"/>
      <c r="G65" s="250"/>
    </row>
    <row r="66" spans="1:13">
      <c r="A66" s="252"/>
      <c r="B66" s="250"/>
      <c r="C66" s="250"/>
      <c r="D66" s="250"/>
      <c r="E66" s="250"/>
      <c r="F66" s="250"/>
      <c r="G66" s="250"/>
    </row>
    <row r="67" spans="1:13" ht="17.25">
      <c r="A67" s="257" t="s">
        <v>16</v>
      </c>
      <c r="B67" s="256">
        <v>4.5</v>
      </c>
      <c r="C67" s="315" t="s">
        <v>10</v>
      </c>
      <c r="D67" s="314"/>
      <c r="E67" s="254"/>
      <c r="F67" s="256">
        <f>L67-B67</f>
        <v>0.5</v>
      </c>
      <c r="G67" s="254"/>
      <c r="H67" s="258"/>
      <c r="I67" s="258"/>
      <c r="J67" s="258"/>
      <c r="K67" s="258"/>
      <c r="L67" s="254">
        <v>5</v>
      </c>
      <c r="M67" s="254"/>
    </row>
    <row r="68" spans="1:13">
      <c r="A68" s="236" t="s">
        <v>772</v>
      </c>
      <c r="B68" s="250">
        <f>B67*0.25</f>
        <v>1.125</v>
      </c>
      <c r="C68" s="313" t="s">
        <v>8</v>
      </c>
      <c r="D68" s="316">
        <f>QUARTILE(AD4:AD15,1)</f>
        <v>0.97</v>
      </c>
      <c r="E68" s="250"/>
      <c r="F68" s="250" t="s">
        <v>7</v>
      </c>
      <c r="G68" s="250"/>
      <c r="H68" s="236">
        <v>0.5</v>
      </c>
    </row>
    <row r="69" spans="1:13">
      <c r="A69" s="236" t="s">
        <v>771</v>
      </c>
      <c r="B69" s="250">
        <f>B67*0.5</f>
        <v>2.25</v>
      </c>
      <c r="C69" s="313" t="s">
        <v>5</v>
      </c>
      <c r="D69" s="316">
        <f>QUARTILE(AD4:AD15,2)</f>
        <v>1.0055000000000001</v>
      </c>
      <c r="E69" s="250"/>
      <c r="F69" s="250" t="s">
        <v>4</v>
      </c>
      <c r="G69" s="250"/>
      <c r="H69" s="236">
        <v>0</v>
      </c>
    </row>
    <row r="70" spans="1:13">
      <c r="A70" s="236" t="s">
        <v>770</v>
      </c>
      <c r="B70" s="250">
        <f>B67*0.75</f>
        <v>3.375</v>
      </c>
      <c r="C70" s="313" t="s">
        <v>2</v>
      </c>
      <c r="D70" s="316">
        <f>QUARTILE(AD4:AD15,3)</f>
        <v>1.0137499999999999</v>
      </c>
      <c r="E70" s="250"/>
      <c r="F70" s="250"/>
      <c r="G70" s="250"/>
    </row>
    <row r="71" spans="1:13">
      <c r="A71" s="236" t="s">
        <v>769</v>
      </c>
      <c r="B71" s="250">
        <f>B67*1</f>
        <v>4.5</v>
      </c>
      <c r="C71" s="311"/>
      <c r="D71" s="310"/>
      <c r="E71" s="250"/>
      <c r="F71" s="250"/>
      <c r="G71" s="250"/>
    </row>
    <row r="72" spans="1:13">
      <c r="A72" s="252"/>
      <c r="B72" s="250"/>
      <c r="C72" s="250"/>
      <c r="D72" s="250"/>
      <c r="E72" s="250"/>
      <c r="F72" s="250"/>
      <c r="G72" s="250"/>
    </row>
    <row r="73" spans="1:13" ht="17.25">
      <c r="A73" s="257" t="s">
        <v>11</v>
      </c>
      <c r="B73" s="256">
        <v>9</v>
      </c>
      <c r="C73" s="315" t="s">
        <v>10</v>
      </c>
      <c r="D73" s="314"/>
      <c r="E73" s="254"/>
      <c r="F73" s="256">
        <f>L73-B73</f>
        <v>1</v>
      </c>
      <c r="G73" s="254"/>
      <c r="H73" s="254"/>
      <c r="I73" s="254"/>
      <c r="J73" s="254"/>
      <c r="K73" s="254"/>
      <c r="L73" s="254">
        <v>10</v>
      </c>
      <c r="M73" s="254"/>
    </row>
    <row r="74" spans="1:13">
      <c r="A74" s="236" t="s">
        <v>768</v>
      </c>
      <c r="B74" s="250">
        <f>B73*0.25</f>
        <v>2.25</v>
      </c>
      <c r="C74" s="313" t="s">
        <v>8</v>
      </c>
      <c r="D74" s="312">
        <f>QUARTILE(AH4:AH15,1)</f>
        <v>2.3725E-2</v>
      </c>
      <c r="E74" s="250"/>
      <c r="F74" s="250" t="s">
        <v>7</v>
      </c>
      <c r="G74" s="250"/>
      <c r="H74" s="236">
        <v>1</v>
      </c>
    </row>
    <row r="75" spans="1:13">
      <c r="A75" s="236" t="s">
        <v>767</v>
      </c>
      <c r="B75" s="250">
        <f>B73*0.5</f>
        <v>4.5</v>
      </c>
      <c r="C75" s="313" t="s">
        <v>5</v>
      </c>
      <c r="D75" s="312">
        <f>QUARTILE(AH4:AH15,2)</f>
        <v>4.0500000000000001E-2</v>
      </c>
      <c r="E75" s="250"/>
      <c r="F75" s="250" t="s">
        <v>4</v>
      </c>
      <c r="G75" s="250"/>
      <c r="H75" s="236">
        <v>0</v>
      </c>
    </row>
    <row r="76" spans="1:13">
      <c r="A76" s="236" t="s">
        <v>766</v>
      </c>
      <c r="B76" s="250">
        <f>B73*0.75</f>
        <v>6.75</v>
      </c>
      <c r="C76" s="313" t="s">
        <v>2</v>
      </c>
      <c r="D76" s="312">
        <f>QUARTILE(AH4:AH15,3)</f>
        <v>9.3049999999999994E-2</v>
      </c>
      <c r="E76" s="250"/>
      <c r="F76" s="250"/>
      <c r="G76" s="250"/>
    </row>
    <row r="77" spans="1:13">
      <c r="A77" s="236" t="s">
        <v>765</v>
      </c>
      <c r="B77" s="250">
        <f>B73*1</f>
        <v>9</v>
      </c>
      <c r="C77" s="311"/>
      <c r="D77" s="310"/>
      <c r="E77" s="250"/>
      <c r="F77" s="250"/>
      <c r="G77" s="250"/>
    </row>
    <row r="78" spans="1:13">
      <c r="B78" s="250"/>
      <c r="C78" s="250"/>
      <c r="D78" s="250"/>
      <c r="E78" s="250"/>
      <c r="F78" s="250"/>
      <c r="G78" s="250"/>
    </row>
    <row r="79" spans="1:13" ht="18.75">
      <c r="B79" s="530" t="s">
        <v>0</v>
      </c>
      <c r="C79" s="530"/>
      <c r="D79" s="530"/>
      <c r="E79" s="530"/>
      <c r="F79" s="530"/>
      <c r="G79" s="530"/>
      <c r="H79" s="530"/>
      <c r="I79" s="530"/>
      <c r="J79" s="530"/>
      <c r="K79" s="249"/>
      <c r="L79" s="248">
        <f>SUM(L18:L76)</f>
        <v>100</v>
      </c>
      <c r="M79" s="248"/>
    </row>
  </sheetData>
  <mergeCells count="2">
    <mergeCell ref="A1:AJ2"/>
    <mergeCell ref="B79:J79"/>
  </mergeCells>
  <pageMargins left="0.75" right="0.75" top="1" bottom="1" header="0.5" footer="0.5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M79"/>
  <sheetViews>
    <sheetView topLeftCell="V1" zoomScale="75" zoomScaleNormal="75" zoomScalePageLayoutView="75" workbookViewId="0">
      <selection activeCell="AK20" sqref="AK20"/>
    </sheetView>
  </sheetViews>
  <sheetFormatPr defaultColWidth="12.5703125" defaultRowHeight="15.75"/>
  <cols>
    <col min="1" max="1" width="37.85546875" style="236" bestFit="1" customWidth="1"/>
    <col min="2" max="4" width="12.5703125" style="236"/>
    <col min="5" max="5" width="8.42578125" style="236" bestFit="1" customWidth="1"/>
    <col min="6" max="6" width="16.140625" style="236" bestFit="1" customWidth="1"/>
    <col min="7" max="9" width="12.5703125" style="236"/>
    <col min="10" max="10" width="16.140625" style="236" customWidth="1"/>
    <col min="11" max="29" width="12.5703125" style="236" customWidth="1"/>
    <col min="30" max="30" width="12" style="236" customWidth="1"/>
    <col min="31" max="32" width="12.5703125" style="236" customWidth="1"/>
    <col min="33" max="33" width="13.28515625" style="236" bestFit="1" customWidth="1"/>
    <col min="34" max="38" width="12.5703125" style="236"/>
    <col min="39" max="39" width="37.85546875" style="236" bestFit="1" customWidth="1"/>
    <col min="40" max="16384" width="12.5703125" style="236"/>
  </cols>
  <sheetData>
    <row r="1" spans="1:39">
      <c r="A1" s="535" t="s">
        <v>841</v>
      </c>
      <c r="B1" s="535"/>
      <c r="C1" s="535"/>
      <c r="D1" s="535"/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250"/>
      <c r="AL1" s="250"/>
      <c r="AM1" s="250"/>
    </row>
    <row r="2" spans="1:39">
      <c r="A2" s="535"/>
      <c r="B2" s="535"/>
      <c r="C2" s="535"/>
      <c r="D2" s="535"/>
      <c r="E2" s="535"/>
      <c r="F2" s="535"/>
      <c r="G2" s="535"/>
      <c r="H2" s="535"/>
      <c r="I2" s="535"/>
      <c r="J2" s="535"/>
      <c r="K2" s="535"/>
      <c r="L2" s="535"/>
      <c r="M2" s="535"/>
      <c r="N2" s="535"/>
      <c r="O2" s="535"/>
      <c r="P2" s="535"/>
      <c r="Q2" s="535"/>
      <c r="R2" s="535"/>
      <c r="S2" s="535"/>
      <c r="T2" s="535"/>
      <c r="U2" s="535"/>
      <c r="V2" s="535"/>
      <c r="W2" s="535"/>
      <c r="X2" s="535"/>
      <c r="Y2" s="535"/>
      <c r="Z2" s="535"/>
      <c r="AA2" s="535"/>
      <c r="AB2" s="535"/>
      <c r="AC2" s="535"/>
      <c r="AD2" s="535"/>
      <c r="AE2" s="535"/>
      <c r="AF2" s="535"/>
      <c r="AG2" s="535"/>
      <c r="AH2" s="535"/>
      <c r="AI2" s="535"/>
      <c r="AJ2" s="535"/>
      <c r="AK2" s="250"/>
      <c r="AL2" s="250"/>
      <c r="AM2" s="250"/>
    </row>
    <row r="3" spans="1:39" ht="78.75">
      <c r="A3" s="401" t="s">
        <v>97</v>
      </c>
      <c r="B3" s="401" t="s">
        <v>96</v>
      </c>
      <c r="C3" s="402" t="s">
        <v>93</v>
      </c>
      <c r="D3" s="402" t="s">
        <v>95</v>
      </c>
      <c r="E3" s="402" t="s">
        <v>93</v>
      </c>
      <c r="F3" s="401" t="s">
        <v>94</v>
      </c>
      <c r="G3" s="402" t="s">
        <v>83</v>
      </c>
      <c r="H3" s="402" t="s">
        <v>84</v>
      </c>
      <c r="I3" s="402" t="s">
        <v>93</v>
      </c>
      <c r="J3" s="401" t="s">
        <v>92</v>
      </c>
      <c r="K3" s="402" t="s">
        <v>83</v>
      </c>
      <c r="L3" s="403" t="s">
        <v>91</v>
      </c>
      <c r="M3" s="402" t="s">
        <v>83</v>
      </c>
      <c r="N3" s="402" t="s">
        <v>90</v>
      </c>
      <c r="O3" s="402" t="s">
        <v>83</v>
      </c>
      <c r="P3" s="402" t="s">
        <v>84</v>
      </c>
      <c r="Q3" s="402" t="s">
        <v>83</v>
      </c>
      <c r="R3" s="402" t="s">
        <v>89</v>
      </c>
      <c r="S3" s="402" t="s">
        <v>83</v>
      </c>
      <c r="T3" s="402" t="s">
        <v>84</v>
      </c>
      <c r="U3" s="402" t="s">
        <v>83</v>
      </c>
      <c r="V3" s="402" t="s">
        <v>88</v>
      </c>
      <c r="W3" s="402" t="s">
        <v>83</v>
      </c>
      <c r="X3" s="402" t="s">
        <v>84</v>
      </c>
      <c r="Y3" s="402" t="s">
        <v>83</v>
      </c>
      <c r="Z3" s="402" t="s">
        <v>87</v>
      </c>
      <c r="AA3" s="402" t="s">
        <v>83</v>
      </c>
      <c r="AB3" s="402" t="s">
        <v>84</v>
      </c>
      <c r="AC3" s="402" t="s">
        <v>83</v>
      </c>
      <c r="AD3" s="402" t="s">
        <v>86</v>
      </c>
      <c r="AE3" s="402" t="s">
        <v>83</v>
      </c>
      <c r="AF3" s="402" t="s">
        <v>84</v>
      </c>
      <c r="AG3" s="402" t="s">
        <v>83</v>
      </c>
      <c r="AH3" s="402" t="s">
        <v>85</v>
      </c>
      <c r="AI3" s="402" t="s">
        <v>83</v>
      </c>
      <c r="AJ3" s="402" t="s">
        <v>84</v>
      </c>
      <c r="AK3" s="309" t="s">
        <v>93</v>
      </c>
      <c r="AL3" s="309" t="s">
        <v>840</v>
      </c>
      <c r="AM3" s="303" t="s">
        <v>97</v>
      </c>
    </row>
    <row r="4" spans="1:39">
      <c r="A4" s="404" t="s">
        <v>791</v>
      </c>
      <c r="B4" s="366">
        <v>0.4</v>
      </c>
      <c r="C4" s="364">
        <f t="shared" ref="C4:C15" si="0">IF(B4&gt;6.2,$B$22,IF(AND(B4&lt;=6.2,B4&gt;1.1),$B$21,IF(AND(B4&lt;=1.1,B4&gt;-4.8),$B$20,$B$19)))</f>
        <v>6.75</v>
      </c>
      <c r="D4" s="331">
        <v>1</v>
      </c>
      <c r="E4" s="331">
        <f t="shared" ref="E4:E15" si="1">IF(D4=0,"0",$H$19)</f>
        <v>1.5</v>
      </c>
      <c r="F4" s="366">
        <v>3.3</v>
      </c>
      <c r="G4" s="364">
        <f t="shared" ref="G4:G15" si="2">IF(F4&gt;34.2,$B$28,IF(AND(F4&lt;=34.2,F4&gt;6),$B$27,IF(AND(F4&lt;=6,F4&gt;0),$B$26,$B$25)))</f>
        <v>6.75</v>
      </c>
      <c r="H4" s="331">
        <v>1</v>
      </c>
      <c r="I4" s="331">
        <f t="shared" ref="I4:I15" si="3">IF(H4=0,"0",$H$26)</f>
        <v>1.5</v>
      </c>
      <c r="J4" s="363">
        <v>0</v>
      </c>
      <c r="K4" s="361">
        <f t="shared" ref="K4:K15" si="4">IF(J4&gt;QUARTILE($J$4:$J$15,3),$B$35,IF(AND(J4&lt;=QUARTILE($J$4:$J$15,3),J4&gt;QUARTILE($J$4:$J$15,2)),$B$34,IF(AND(J4&lt;=QUARTILE($J$4:$J$15,2),J4&gt;QUARTILE($J$4:$J$15,1)),$B$33,$B$32)))</f>
        <v>2.5</v>
      </c>
      <c r="L4" s="365">
        <v>1.1154999999999999</v>
      </c>
      <c r="M4" s="361">
        <f t="shared" ref="M4:M11" si="5">IF(L4&gt;QUARTILE($L$4:$L$15,3),$B$41,IF(AND(L4&lt;=QUARTILE($L$4:$L$15,3),L4&gt;QUARTILE($L$4:$L$15,2)),$B$40,IF(AND(L4&lt;=QUARTILE($L$4:$L$15,2),L4&gt;QUARTILE($L$4:$L$15,1)),$B$39,$B$38)))</f>
        <v>5</v>
      </c>
      <c r="N4" s="364">
        <v>110.08</v>
      </c>
      <c r="O4" s="359">
        <f t="shared" ref="O4:O15" si="6">IF(N4&gt;QUARTILE($N$4:$N$15,3),$B$47,IF(AND(N4&lt;=QUARTILE($N$4:$N$15,3),N4&gt;QUARTILE($N$4:$N$15,2)),$B$46,IF(AND(N4&lt;=QUARTILE($N$4:$N$15,2),N4&gt;QUARTILE($N$4:$N$15,1)),$B$45,$B$44)))</f>
        <v>3.375</v>
      </c>
      <c r="P4" s="364">
        <v>1</v>
      </c>
      <c r="Q4" s="364">
        <f t="shared" ref="Q4:Q15" si="7">IF(P4=0,"0",$H$44)</f>
        <v>0.5</v>
      </c>
      <c r="R4" s="362">
        <v>4.3400000000000001E-2</v>
      </c>
      <c r="S4" s="361">
        <f t="shared" ref="S4:S15" si="8">IF(R4&gt;14.22%,$B$53,IF(R4&lt;-3.38%,$B$50,IF(AND(R4&gt;-3.38%,R4&lt;5.4%),$B$51,$B$52)))</f>
        <v>4.5</v>
      </c>
      <c r="T4" s="360">
        <v>1</v>
      </c>
      <c r="U4" s="361">
        <f t="shared" ref="U4:U15" si="9">IF(T4=0,"0",$H$50)</f>
        <v>1</v>
      </c>
      <c r="V4" s="363">
        <v>1.7999999999999999E-2</v>
      </c>
      <c r="W4" s="361">
        <f t="shared" ref="W4:W15" si="10">IF(V4&gt;7.92%,$B$59,IF(V4&lt;-8.43%,$B$56,IF(AND(V4&gt;-8.43%,V4&lt;2.12%),$B$57,$B$58)))</f>
        <v>6.75</v>
      </c>
      <c r="X4" s="360">
        <v>1</v>
      </c>
      <c r="Y4" s="361">
        <f t="shared" ref="Y4:Y15" si="11">IF(X4=0,"0",$H$56)</f>
        <v>1.5</v>
      </c>
      <c r="Z4" s="368">
        <v>3.0999999999999999E-3</v>
      </c>
      <c r="AA4" s="361">
        <f t="shared" ref="AA4:AA15" si="12">IF(Z4&gt;4.91%,$B$65,IF(Z4&lt;-10.59%,$B$62,IF(AND(Z4&gt;-10.59%,Z4&lt;0.77%),$B$63,$B$64)))</f>
        <v>6.75</v>
      </c>
      <c r="AB4" s="360">
        <v>1</v>
      </c>
      <c r="AC4" s="361">
        <f t="shared" ref="AC4:AC15" si="13">IF(AB4=0,"0",$H$62)</f>
        <v>1.5</v>
      </c>
      <c r="AD4" s="359">
        <v>1.0183</v>
      </c>
      <c r="AE4" s="359">
        <f t="shared" ref="AE4:AE15" si="14">IF(AD4&gt;QUARTILE($AD$4:$AD$15,3),$B$71,IF(AND(AD4&lt;=QUARTILE($AD$4:$AD$15,3),AD4&gt;QUARTILE($AD$4:$AD$15,2)),$B$70,IF(AND(AD4&lt;=QUARTILE($AD$4:$AD$15,2),AD4&gt;QUARTILE($AD$4:$AD$15,1)),$B$69,$B$68)))</f>
        <v>2.25</v>
      </c>
      <c r="AF4" s="360">
        <v>0</v>
      </c>
      <c r="AG4" s="367" t="str">
        <f t="shared" ref="AG4:AG15" si="15">IF(AF4=0,"0","0,5")</f>
        <v>0</v>
      </c>
      <c r="AH4" s="359">
        <v>5.5599999999999997E-2</v>
      </c>
      <c r="AI4" s="359">
        <f t="shared" ref="AI4:AI15" si="16">IF(AH4&gt;QUARTILE($AH$4:$AH$15,3),$B$77,IF(AND(AH4&lt;=QUARTILE($AH$4:$AH$15,3),AH4&gt;QUARTILE($AH$4:$AH$15,2)),$B$76,IF(AND(AH4&lt;=QUARTILE($AH$4:$AH$15,2),AH4&gt;QUARTILE($AH$4:$AH$15,1)),$B$75,$B$74)))</f>
        <v>6.75</v>
      </c>
      <c r="AJ4" s="331">
        <v>0</v>
      </c>
      <c r="AK4" s="331" t="str">
        <f t="shared" ref="AK4:AK15" si="17">IF(AJ4=0,"0",$H$74)</f>
        <v>0</v>
      </c>
      <c r="AL4" s="415">
        <f t="shared" ref="AL4:AL15" si="18">C4+E4+G4+I4+K4+M4+O4+Q4+S4+U4+W4+Y4+AA4+AC4+AE4+AG4+AI4+AK4</f>
        <v>58.875</v>
      </c>
      <c r="AM4" s="416" t="s">
        <v>791</v>
      </c>
    </row>
    <row r="5" spans="1:39">
      <c r="A5" s="404" t="s">
        <v>799</v>
      </c>
      <c r="B5" s="405">
        <v>39.799999999999997</v>
      </c>
      <c r="C5" s="405">
        <f t="shared" si="0"/>
        <v>13.5</v>
      </c>
      <c r="D5" s="406">
        <v>1</v>
      </c>
      <c r="E5" s="406">
        <f t="shared" si="1"/>
        <v>1.5</v>
      </c>
      <c r="F5" s="405">
        <v>59.2</v>
      </c>
      <c r="G5" s="405">
        <f t="shared" si="2"/>
        <v>13.5</v>
      </c>
      <c r="H5" s="406">
        <v>1</v>
      </c>
      <c r="I5" s="406">
        <f t="shared" si="3"/>
        <v>1.5</v>
      </c>
      <c r="J5" s="407">
        <v>0.23899999999999999</v>
      </c>
      <c r="K5" s="408">
        <f t="shared" si="4"/>
        <v>5</v>
      </c>
      <c r="L5" s="407">
        <v>0.95409999999999995</v>
      </c>
      <c r="M5" s="408">
        <f t="shared" si="5"/>
        <v>3.75</v>
      </c>
      <c r="N5" s="405">
        <v>143.05000000000001</v>
      </c>
      <c r="O5" s="409">
        <f t="shared" si="6"/>
        <v>2.25</v>
      </c>
      <c r="P5" s="405">
        <v>0</v>
      </c>
      <c r="Q5" s="405" t="str">
        <f t="shared" si="7"/>
        <v>0</v>
      </c>
      <c r="R5" s="410">
        <v>0.34849999999999998</v>
      </c>
      <c r="S5" s="408">
        <f t="shared" si="8"/>
        <v>9</v>
      </c>
      <c r="T5" s="411">
        <v>1</v>
      </c>
      <c r="U5" s="408">
        <f t="shared" si="9"/>
        <v>1</v>
      </c>
      <c r="V5" s="407">
        <v>0.35070000000000001</v>
      </c>
      <c r="W5" s="408">
        <f t="shared" si="10"/>
        <v>13.5</v>
      </c>
      <c r="X5" s="411">
        <v>1</v>
      </c>
      <c r="Y5" s="408">
        <f t="shared" si="11"/>
        <v>1.5</v>
      </c>
      <c r="Z5" s="410">
        <v>0.28739999999999999</v>
      </c>
      <c r="AA5" s="408">
        <f t="shared" si="12"/>
        <v>13.5</v>
      </c>
      <c r="AB5" s="411">
        <v>1</v>
      </c>
      <c r="AC5" s="408">
        <f t="shared" si="13"/>
        <v>1.5</v>
      </c>
      <c r="AD5" s="409">
        <v>1.5401</v>
      </c>
      <c r="AE5" s="409">
        <f t="shared" si="14"/>
        <v>4.5</v>
      </c>
      <c r="AF5" s="411">
        <v>0</v>
      </c>
      <c r="AG5" s="409" t="str">
        <f t="shared" si="15"/>
        <v>0</v>
      </c>
      <c r="AH5" s="409">
        <v>0.503</v>
      </c>
      <c r="AI5" s="409">
        <f t="shared" si="16"/>
        <v>9</v>
      </c>
      <c r="AJ5" s="406">
        <v>0</v>
      </c>
      <c r="AK5" s="406" t="str">
        <f t="shared" si="17"/>
        <v>0</v>
      </c>
      <c r="AL5" s="415">
        <f t="shared" si="18"/>
        <v>94.5</v>
      </c>
      <c r="AM5" s="416" t="s">
        <v>799</v>
      </c>
    </row>
    <row r="6" spans="1:39">
      <c r="A6" s="404" t="s">
        <v>793</v>
      </c>
      <c r="B6" s="405">
        <v>1.5</v>
      </c>
      <c r="C6" s="405">
        <f t="shared" si="0"/>
        <v>10.125</v>
      </c>
      <c r="D6" s="406">
        <v>0</v>
      </c>
      <c r="E6" s="406" t="str">
        <f t="shared" si="1"/>
        <v>0</v>
      </c>
      <c r="F6" s="405">
        <v>0.9</v>
      </c>
      <c r="G6" s="405">
        <f t="shared" si="2"/>
        <v>6.75</v>
      </c>
      <c r="H6" s="406">
        <v>0</v>
      </c>
      <c r="I6" s="406" t="str">
        <f t="shared" si="3"/>
        <v>0</v>
      </c>
      <c r="J6" s="412">
        <v>-7.1900000000000006E-2</v>
      </c>
      <c r="K6" s="408">
        <f t="shared" si="4"/>
        <v>1.25</v>
      </c>
      <c r="L6" s="407">
        <v>-0.74280000000000002</v>
      </c>
      <c r="M6" s="408">
        <f t="shared" si="5"/>
        <v>1.25</v>
      </c>
      <c r="N6" s="405">
        <v>500.94</v>
      </c>
      <c r="O6" s="409">
        <f t="shared" si="6"/>
        <v>1.125</v>
      </c>
      <c r="P6" s="405">
        <v>0</v>
      </c>
      <c r="Q6" s="405" t="str">
        <f t="shared" si="7"/>
        <v>0</v>
      </c>
      <c r="R6" s="410">
        <v>7.1400000000000005E-2</v>
      </c>
      <c r="S6" s="408">
        <f t="shared" si="8"/>
        <v>6.75</v>
      </c>
      <c r="T6" s="411">
        <v>0</v>
      </c>
      <c r="U6" s="408" t="str">
        <f t="shared" si="9"/>
        <v>0</v>
      </c>
      <c r="V6" s="407">
        <v>4.8399999999999999E-2</v>
      </c>
      <c r="W6" s="408">
        <f t="shared" si="10"/>
        <v>10.125</v>
      </c>
      <c r="X6" s="411">
        <v>0</v>
      </c>
      <c r="Y6" s="408" t="str">
        <f t="shared" si="11"/>
        <v>0</v>
      </c>
      <c r="Z6" s="410">
        <v>1.46E-2</v>
      </c>
      <c r="AA6" s="408">
        <f t="shared" si="12"/>
        <v>10.125</v>
      </c>
      <c r="AB6" s="411">
        <v>0</v>
      </c>
      <c r="AC6" s="408" t="str">
        <f t="shared" si="13"/>
        <v>0</v>
      </c>
      <c r="AD6" s="409">
        <v>1.0509999999999999</v>
      </c>
      <c r="AE6" s="409">
        <f t="shared" si="14"/>
        <v>3.375</v>
      </c>
      <c r="AF6" s="411">
        <v>1</v>
      </c>
      <c r="AG6" s="409" t="str">
        <f t="shared" si="15"/>
        <v>0,5</v>
      </c>
      <c r="AH6" s="409">
        <v>3.2500000000000001E-2</v>
      </c>
      <c r="AI6" s="409">
        <f t="shared" si="16"/>
        <v>2.25</v>
      </c>
      <c r="AJ6" s="406">
        <v>1</v>
      </c>
      <c r="AK6" s="406">
        <f t="shared" si="17"/>
        <v>1</v>
      </c>
      <c r="AL6" s="415">
        <f t="shared" si="18"/>
        <v>54.625</v>
      </c>
      <c r="AM6" s="416" t="s">
        <v>793</v>
      </c>
    </row>
    <row r="7" spans="1:39">
      <c r="A7" s="404" t="s">
        <v>787</v>
      </c>
      <c r="B7" s="413">
        <v>1.5</v>
      </c>
      <c r="C7" s="405">
        <f t="shared" si="0"/>
        <v>10.125</v>
      </c>
      <c r="D7" s="406">
        <v>1</v>
      </c>
      <c r="E7" s="406">
        <f t="shared" si="1"/>
        <v>1.5</v>
      </c>
      <c r="F7" s="413">
        <v>0.6</v>
      </c>
      <c r="G7" s="405">
        <f t="shared" si="2"/>
        <v>6.75</v>
      </c>
      <c r="H7" s="406">
        <v>1</v>
      </c>
      <c r="I7" s="406">
        <f t="shared" si="3"/>
        <v>1.5</v>
      </c>
      <c r="J7" s="412">
        <v>-0.21360000000000001</v>
      </c>
      <c r="K7" s="408">
        <f t="shared" si="4"/>
        <v>1.25</v>
      </c>
      <c r="L7" s="407">
        <v>1.2943</v>
      </c>
      <c r="M7" s="408">
        <f t="shared" si="5"/>
        <v>5</v>
      </c>
      <c r="N7" s="405">
        <v>156.25</v>
      </c>
      <c r="O7" s="409">
        <f t="shared" si="6"/>
        <v>2.25</v>
      </c>
      <c r="P7" s="405">
        <v>0</v>
      </c>
      <c r="Q7" s="405" t="str">
        <f t="shared" si="7"/>
        <v>0</v>
      </c>
      <c r="R7" s="410">
        <v>8.09E-2</v>
      </c>
      <c r="S7" s="408">
        <f t="shared" si="8"/>
        <v>6.75</v>
      </c>
      <c r="T7" s="411">
        <v>1</v>
      </c>
      <c r="U7" s="408">
        <f t="shared" si="9"/>
        <v>1</v>
      </c>
      <c r="V7" s="407">
        <v>1.7500000000000002E-2</v>
      </c>
      <c r="W7" s="408">
        <f t="shared" si="10"/>
        <v>6.75</v>
      </c>
      <c r="X7" s="411">
        <v>1</v>
      </c>
      <c r="Y7" s="408">
        <f t="shared" si="11"/>
        <v>1.5</v>
      </c>
      <c r="Z7" s="410">
        <v>4.5999999999999999E-3</v>
      </c>
      <c r="AA7" s="408">
        <f t="shared" si="12"/>
        <v>6.75</v>
      </c>
      <c r="AB7" s="411">
        <v>1</v>
      </c>
      <c r="AC7" s="408">
        <f t="shared" si="13"/>
        <v>1.5</v>
      </c>
      <c r="AD7" s="409">
        <v>1.0178</v>
      </c>
      <c r="AE7" s="409">
        <f t="shared" si="14"/>
        <v>2.25</v>
      </c>
      <c r="AF7" s="411">
        <v>1</v>
      </c>
      <c r="AG7" s="409" t="str">
        <f t="shared" si="15"/>
        <v>0,5</v>
      </c>
      <c r="AH7" s="409">
        <v>3.5000000000000003E-2</v>
      </c>
      <c r="AI7" s="409">
        <f t="shared" si="16"/>
        <v>4.5</v>
      </c>
      <c r="AJ7" s="406">
        <v>1</v>
      </c>
      <c r="AK7" s="406">
        <f t="shared" si="17"/>
        <v>1</v>
      </c>
      <c r="AL7" s="415">
        <f t="shared" si="18"/>
        <v>60.875</v>
      </c>
      <c r="AM7" s="416" t="s">
        <v>787</v>
      </c>
    </row>
    <row r="8" spans="1:39">
      <c r="A8" s="404" t="s">
        <v>796</v>
      </c>
      <c r="B8" s="405">
        <v>12.3</v>
      </c>
      <c r="C8" s="405">
        <f t="shared" si="0"/>
        <v>13.5</v>
      </c>
      <c r="D8" s="406">
        <v>1</v>
      </c>
      <c r="E8" s="406">
        <f t="shared" si="1"/>
        <v>1.5</v>
      </c>
      <c r="F8" s="405">
        <v>14.6</v>
      </c>
      <c r="G8" s="405">
        <f t="shared" si="2"/>
        <v>10.125</v>
      </c>
      <c r="H8" s="406">
        <v>1</v>
      </c>
      <c r="I8" s="406">
        <f t="shared" si="3"/>
        <v>1.5</v>
      </c>
      <c r="J8" s="407">
        <v>7.6399999999999996E-2</v>
      </c>
      <c r="K8" s="408">
        <f t="shared" si="4"/>
        <v>5</v>
      </c>
      <c r="L8" s="407">
        <v>0.46660000000000001</v>
      </c>
      <c r="M8" s="408">
        <f t="shared" si="5"/>
        <v>2.5</v>
      </c>
      <c r="N8" s="405">
        <v>307.57</v>
      </c>
      <c r="O8" s="409">
        <f t="shared" si="6"/>
        <v>1.125</v>
      </c>
      <c r="P8" s="405">
        <v>0</v>
      </c>
      <c r="Q8" s="405" t="str">
        <f t="shared" si="7"/>
        <v>0</v>
      </c>
      <c r="R8" s="410">
        <v>0.1817</v>
      </c>
      <c r="S8" s="408">
        <f t="shared" si="8"/>
        <v>9</v>
      </c>
      <c r="T8" s="411">
        <v>1</v>
      </c>
      <c r="U8" s="408">
        <f t="shared" si="9"/>
        <v>1</v>
      </c>
      <c r="V8" s="407">
        <v>0.1361</v>
      </c>
      <c r="W8" s="408">
        <f t="shared" si="10"/>
        <v>13.5</v>
      </c>
      <c r="X8" s="411">
        <v>1</v>
      </c>
      <c r="Y8" s="408">
        <f t="shared" si="11"/>
        <v>1.5</v>
      </c>
      <c r="Z8" s="410">
        <v>0.115</v>
      </c>
      <c r="AA8" s="408">
        <f t="shared" si="12"/>
        <v>13.5</v>
      </c>
      <c r="AB8" s="411">
        <v>1</v>
      </c>
      <c r="AC8" s="408">
        <f t="shared" si="13"/>
        <v>1.5</v>
      </c>
      <c r="AD8" s="409">
        <v>1.1104000000000001</v>
      </c>
      <c r="AE8" s="409">
        <f t="shared" si="14"/>
        <v>3.375</v>
      </c>
      <c r="AF8" s="411">
        <v>1</v>
      </c>
      <c r="AG8" s="409" t="str">
        <f t="shared" si="15"/>
        <v>0,5</v>
      </c>
      <c r="AH8" s="409">
        <v>0.14380000000000001</v>
      </c>
      <c r="AI8" s="409">
        <f t="shared" si="16"/>
        <v>9</v>
      </c>
      <c r="AJ8" s="406">
        <v>0</v>
      </c>
      <c r="AK8" s="406" t="str">
        <f t="shared" si="17"/>
        <v>0</v>
      </c>
      <c r="AL8" s="415">
        <f t="shared" si="18"/>
        <v>88.125</v>
      </c>
      <c r="AM8" s="416" t="s">
        <v>796</v>
      </c>
    </row>
    <row r="9" spans="1:39">
      <c r="A9" s="404" t="s">
        <v>794</v>
      </c>
      <c r="B9" s="405">
        <v>10.199999999999999</v>
      </c>
      <c r="C9" s="405">
        <f t="shared" si="0"/>
        <v>13.5</v>
      </c>
      <c r="D9" s="406">
        <v>0</v>
      </c>
      <c r="E9" s="406" t="str">
        <f t="shared" si="1"/>
        <v>0</v>
      </c>
      <c r="F9" s="405">
        <v>12.1</v>
      </c>
      <c r="G9" s="405">
        <f t="shared" si="2"/>
        <v>10.125</v>
      </c>
      <c r="H9" s="406">
        <v>0</v>
      </c>
      <c r="I9" s="406" t="str">
        <f t="shared" si="3"/>
        <v>0</v>
      </c>
      <c r="J9" s="412">
        <v>-4.3299999999999998E-2</v>
      </c>
      <c r="K9" s="408">
        <f t="shared" si="4"/>
        <v>1.25</v>
      </c>
      <c r="L9" s="407">
        <v>-0.1333</v>
      </c>
      <c r="M9" s="408">
        <f t="shared" si="5"/>
        <v>1.25</v>
      </c>
      <c r="N9" s="405">
        <v>139.61000000000001</v>
      </c>
      <c r="O9" s="409">
        <f t="shared" si="6"/>
        <v>2.25</v>
      </c>
      <c r="P9" s="405">
        <v>0</v>
      </c>
      <c r="Q9" s="405" t="str">
        <f t="shared" si="7"/>
        <v>0</v>
      </c>
      <c r="R9" s="410" t="s">
        <v>839</v>
      </c>
      <c r="S9" s="408">
        <f t="shared" si="8"/>
        <v>9</v>
      </c>
      <c r="T9" s="411">
        <v>1</v>
      </c>
      <c r="U9" s="408">
        <f t="shared" si="9"/>
        <v>1</v>
      </c>
      <c r="V9" s="407">
        <v>0.1323</v>
      </c>
      <c r="W9" s="408">
        <f t="shared" si="10"/>
        <v>13.5</v>
      </c>
      <c r="X9" s="411">
        <v>0</v>
      </c>
      <c r="Y9" s="408" t="str">
        <f t="shared" si="11"/>
        <v>0</v>
      </c>
      <c r="Z9" s="410">
        <v>0.1017</v>
      </c>
      <c r="AA9" s="408">
        <f t="shared" si="12"/>
        <v>13.5</v>
      </c>
      <c r="AB9" s="411">
        <v>0</v>
      </c>
      <c r="AC9" s="408" t="str">
        <f t="shared" si="13"/>
        <v>0</v>
      </c>
      <c r="AD9" s="409">
        <v>1.1524000000000001</v>
      </c>
      <c r="AE9" s="409">
        <f t="shared" si="14"/>
        <v>4.5</v>
      </c>
      <c r="AF9" s="411">
        <v>0</v>
      </c>
      <c r="AG9" s="409" t="str">
        <f t="shared" si="15"/>
        <v>0</v>
      </c>
      <c r="AH9" s="409">
        <v>0.121</v>
      </c>
      <c r="AI9" s="409">
        <f t="shared" si="16"/>
        <v>9</v>
      </c>
      <c r="AJ9" s="406">
        <v>1</v>
      </c>
      <c r="AK9" s="406">
        <f t="shared" si="17"/>
        <v>1</v>
      </c>
      <c r="AL9" s="415">
        <f t="shared" si="18"/>
        <v>79.875</v>
      </c>
      <c r="AM9" s="416" t="s">
        <v>794</v>
      </c>
    </row>
    <row r="10" spans="1:39">
      <c r="A10" s="404" t="s">
        <v>789</v>
      </c>
      <c r="B10" s="405">
        <v>1</v>
      </c>
      <c r="C10" s="405">
        <f t="shared" si="0"/>
        <v>6.75</v>
      </c>
      <c r="D10" s="406">
        <v>0</v>
      </c>
      <c r="E10" s="406" t="str">
        <f t="shared" si="1"/>
        <v>0</v>
      </c>
      <c r="F10" s="405">
        <v>1.1000000000000001</v>
      </c>
      <c r="G10" s="405">
        <f t="shared" si="2"/>
        <v>6.75</v>
      </c>
      <c r="H10" s="406">
        <v>0</v>
      </c>
      <c r="I10" s="406" t="str">
        <f t="shared" si="3"/>
        <v>0</v>
      </c>
      <c r="J10" s="407">
        <v>7.4000000000000003E-3</v>
      </c>
      <c r="K10" s="408">
        <f t="shared" si="4"/>
        <v>2.5</v>
      </c>
      <c r="L10" s="407">
        <v>0.18740000000000001</v>
      </c>
      <c r="M10" s="408">
        <f t="shared" si="5"/>
        <v>2.5</v>
      </c>
      <c r="N10" s="405">
        <v>185.79</v>
      </c>
      <c r="O10" s="409">
        <f t="shared" si="6"/>
        <v>1.125</v>
      </c>
      <c r="P10" s="405">
        <v>1</v>
      </c>
      <c r="Q10" s="405">
        <f t="shared" si="7"/>
        <v>0.5</v>
      </c>
      <c r="R10" s="410">
        <v>4.8399999999999999E-2</v>
      </c>
      <c r="S10" s="408">
        <f t="shared" si="8"/>
        <v>4.5</v>
      </c>
      <c r="T10" s="411">
        <v>0</v>
      </c>
      <c r="U10" s="408" t="str">
        <f t="shared" si="9"/>
        <v>0</v>
      </c>
      <c r="V10" s="407">
        <v>5.4000000000000003E-3</v>
      </c>
      <c r="W10" s="408">
        <f t="shared" si="10"/>
        <v>6.75</v>
      </c>
      <c r="X10" s="411">
        <v>0</v>
      </c>
      <c r="Y10" s="408" t="str">
        <f t="shared" si="11"/>
        <v>0</v>
      </c>
      <c r="Z10" s="410">
        <v>1.14E-2</v>
      </c>
      <c r="AA10" s="408">
        <f t="shared" si="12"/>
        <v>10.125</v>
      </c>
      <c r="AB10" s="411">
        <v>0</v>
      </c>
      <c r="AC10" s="408" t="str">
        <f t="shared" si="13"/>
        <v>0</v>
      </c>
      <c r="AD10" s="409">
        <v>1.0205</v>
      </c>
      <c r="AE10" s="409">
        <f t="shared" si="14"/>
        <v>2.25</v>
      </c>
      <c r="AF10" s="411">
        <v>0</v>
      </c>
      <c r="AG10" s="409" t="str">
        <f t="shared" si="15"/>
        <v>0</v>
      </c>
      <c r="AH10" s="409">
        <v>4.9000000000000002E-2</v>
      </c>
      <c r="AI10" s="409">
        <f t="shared" si="16"/>
        <v>4.5</v>
      </c>
      <c r="AJ10" s="406">
        <v>0</v>
      </c>
      <c r="AK10" s="406" t="str">
        <f t="shared" si="17"/>
        <v>0</v>
      </c>
      <c r="AL10" s="415">
        <f t="shared" si="18"/>
        <v>48.25</v>
      </c>
      <c r="AM10" s="416" t="s">
        <v>789</v>
      </c>
    </row>
    <row r="11" spans="1:39">
      <c r="A11" s="404" t="s">
        <v>792</v>
      </c>
      <c r="B11" s="413">
        <v>-17</v>
      </c>
      <c r="C11" s="405">
        <f t="shared" si="0"/>
        <v>3.375</v>
      </c>
      <c r="D11" s="406">
        <v>0</v>
      </c>
      <c r="E11" s="406" t="str">
        <f t="shared" si="1"/>
        <v>0</v>
      </c>
      <c r="F11" s="413">
        <v>-179.1</v>
      </c>
      <c r="G11" s="405">
        <f t="shared" si="2"/>
        <v>3.375</v>
      </c>
      <c r="H11" s="406">
        <v>0</v>
      </c>
      <c r="I11" s="406" t="str">
        <f t="shared" si="3"/>
        <v>0</v>
      </c>
      <c r="J11" s="407">
        <v>2.9999999999999997E-4</v>
      </c>
      <c r="K11" s="408">
        <f t="shared" si="4"/>
        <v>2.5</v>
      </c>
      <c r="L11" s="412">
        <v>-0.17349999999999999</v>
      </c>
      <c r="M11" s="408">
        <f t="shared" si="5"/>
        <v>1.25</v>
      </c>
      <c r="N11" s="405">
        <v>-19.93</v>
      </c>
      <c r="O11" s="409">
        <f t="shared" si="6"/>
        <v>4.5</v>
      </c>
      <c r="P11" s="405">
        <v>1</v>
      </c>
      <c r="Q11" s="405">
        <f t="shared" si="7"/>
        <v>0.5</v>
      </c>
      <c r="R11" s="414">
        <v>-0.1152</v>
      </c>
      <c r="S11" s="408">
        <f t="shared" si="8"/>
        <v>2.25</v>
      </c>
      <c r="T11" s="411">
        <v>1</v>
      </c>
      <c r="U11" s="408">
        <f t="shared" si="9"/>
        <v>1</v>
      </c>
      <c r="V11" s="407">
        <v>-0.12559999999999999</v>
      </c>
      <c r="W11" s="408">
        <f t="shared" si="10"/>
        <v>3.375</v>
      </c>
      <c r="X11" s="411">
        <v>1</v>
      </c>
      <c r="Y11" s="408">
        <f t="shared" si="11"/>
        <v>1.5</v>
      </c>
      <c r="Z11" s="414">
        <v>-0.1578</v>
      </c>
      <c r="AA11" s="408">
        <f t="shared" si="12"/>
        <v>3.375</v>
      </c>
      <c r="AB11" s="411">
        <v>1</v>
      </c>
      <c r="AC11" s="408">
        <f t="shared" si="13"/>
        <v>1.5</v>
      </c>
      <c r="AD11" s="409">
        <v>0.88839999999999997</v>
      </c>
      <c r="AE11" s="409">
        <f t="shared" si="14"/>
        <v>1.125</v>
      </c>
      <c r="AF11" s="411">
        <v>0</v>
      </c>
      <c r="AG11" s="409" t="str">
        <f t="shared" si="15"/>
        <v>0</v>
      </c>
      <c r="AH11" s="409">
        <v>-1.044</v>
      </c>
      <c r="AI11" s="409">
        <f t="shared" si="16"/>
        <v>2.25</v>
      </c>
      <c r="AJ11" s="406">
        <v>0</v>
      </c>
      <c r="AK11" s="406" t="str">
        <f t="shared" si="17"/>
        <v>0</v>
      </c>
      <c r="AL11" s="415">
        <f t="shared" si="18"/>
        <v>31.875</v>
      </c>
      <c r="AM11" s="416" t="s">
        <v>792</v>
      </c>
    </row>
    <row r="12" spans="1:39">
      <c r="A12" s="404" t="s">
        <v>785</v>
      </c>
      <c r="B12" s="413">
        <v>-10</v>
      </c>
      <c r="C12" s="405">
        <f t="shared" si="0"/>
        <v>3.375</v>
      </c>
      <c r="D12" s="406">
        <v>0</v>
      </c>
      <c r="E12" s="406" t="str">
        <f t="shared" si="1"/>
        <v>0</v>
      </c>
      <c r="F12" s="413">
        <v>-27.9</v>
      </c>
      <c r="G12" s="405">
        <f t="shared" si="2"/>
        <v>3.375</v>
      </c>
      <c r="H12" s="406">
        <v>0</v>
      </c>
      <c r="I12" s="406" t="str">
        <f t="shared" si="3"/>
        <v>0</v>
      </c>
      <c r="J12" s="407">
        <v>9.4000000000000004E-3</v>
      </c>
      <c r="K12" s="408">
        <f t="shared" si="4"/>
        <v>3.75</v>
      </c>
      <c r="L12" s="407" t="s">
        <v>838</v>
      </c>
      <c r="M12" s="408">
        <v>0</v>
      </c>
      <c r="N12" s="405">
        <v>39.68</v>
      </c>
      <c r="O12" s="409">
        <f t="shared" si="6"/>
        <v>3.375</v>
      </c>
      <c r="P12" s="405">
        <v>0</v>
      </c>
      <c r="Q12" s="405" t="str">
        <f t="shared" si="7"/>
        <v>0</v>
      </c>
      <c r="R12" s="414">
        <v>-2.92E-2</v>
      </c>
      <c r="S12" s="408">
        <f t="shared" si="8"/>
        <v>4.5</v>
      </c>
      <c r="T12" s="411">
        <v>0</v>
      </c>
      <c r="U12" s="408" t="str">
        <f t="shared" si="9"/>
        <v>0</v>
      </c>
      <c r="V12" s="407">
        <v>-5.0599999999999999E-2</v>
      </c>
      <c r="W12" s="408">
        <f t="shared" si="10"/>
        <v>6.75</v>
      </c>
      <c r="X12" s="411">
        <v>0</v>
      </c>
      <c r="Y12" s="408" t="str">
        <f t="shared" si="11"/>
        <v>0</v>
      </c>
      <c r="Z12" s="414">
        <v>-6.1800000000000001E-2</v>
      </c>
      <c r="AA12" s="408">
        <f t="shared" si="12"/>
        <v>6.75</v>
      </c>
      <c r="AB12" s="411">
        <v>0</v>
      </c>
      <c r="AC12" s="408" t="str">
        <f t="shared" si="13"/>
        <v>0</v>
      </c>
      <c r="AD12" s="409">
        <v>0.95179999999999998</v>
      </c>
      <c r="AE12" s="409">
        <f t="shared" si="14"/>
        <v>1.125</v>
      </c>
      <c r="AF12" s="411">
        <v>0</v>
      </c>
      <c r="AG12" s="409" t="str">
        <f t="shared" si="15"/>
        <v>0</v>
      </c>
      <c r="AH12" s="409">
        <v>-0.55800000000000005</v>
      </c>
      <c r="AI12" s="409">
        <f t="shared" si="16"/>
        <v>2.25</v>
      </c>
      <c r="AJ12" s="406">
        <v>1</v>
      </c>
      <c r="AK12" s="406">
        <f t="shared" si="17"/>
        <v>1</v>
      </c>
      <c r="AL12" s="415">
        <f t="shared" si="18"/>
        <v>36.25</v>
      </c>
      <c r="AM12" s="416" t="s">
        <v>785</v>
      </c>
    </row>
    <row r="13" spans="1:39">
      <c r="A13" s="404" t="s">
        <v>790</v>
      </c>
      <c r="B13" s="405">
        <v>2.5</v>
      </c>
      <c r="C13" s="405">
        <f t="shared" si="0"/>
        <v>10.125</v>
      </c>
      <c r="D13" s="406">
        <v>0</v>
      </c>
      <c r="E13" s="406" t="str">
        <f t="shared" si="1"/>
        <v>0</v>
      </c>
      <c r="F13" s="405">
        <v>2</v>
      </c>
      <c r="G13" s="405">
        <f t="shared" si="2"/>
        <v>6.75</v>
      </c>
      <c r="H13" s="406">
        <v>0</v>
      </c>
      <c r="I13" s="406" t="str">
        <f t="shared" si="3"/>
        <v>0</v>
      </c>
      <c r="J13" s="407">
        <v>5.5899999999999998E-2</v>
      </c>
      <c r="K13" s="408">
        <f t="shared" si="4"/>
        <v>3.75</v>
      </c>
      <c r="L13" s="407">
        <v>-0.1226</v>
      </c>
      <c r="M13" s="408">
        <f>IF(L13&gt;QUARTILE($L$4:$L$15,3),$B$41,IF(AND(L13&lt;=QUARTILE($L$4:$L$15,3),L13&gt;QUARTILE($L$4:$L$15,2)),$B$40,IF(AND(L13&lt;=QUARTILE($L$4:$L$15,2),L13&gt;QUARTILE($L$4:$L$15,1)),$B$39,$B$38)))</f>
        <v>2.5</v>
      </c>
      <c r="N13" s="405">
        <v>37.909999999999997</v>
      </c>
      <c r="O13" s="409">
        <f t="shared" si="6"/>
        <v>4.5</v>
      </c>
      <c r="P13" s="405">
        <v>0</v>
      </c>
      <c r="Q13" s="405" t="str">
        <f t="shared" si="7"/>
        <v>0</v>
      </c>
      <c r="R13" s="410">
        <v>0.05</v>
      </c>
      <c r="S13" s="408">
        <f t="shared" si="8"/>
        <v>4.5</v>
      </c>
      <c r="T13" s="411">
        <v>1</v>
      </c>
      <c r="U13" s="408">
        <f t="shared" si="9"/>
        <v>1</v>
      </c>
      <c r="V13" s="407">
        <v>4.7199999999999999E-2</v>
      </c>
      <c r="W13" s="408">
        <f t="shared" si="10"/>
        <v>10.125</v>
      </c>
      <c r="X13" s="411">
        <v>0</v>
      </c>
      <c r="Y13" s="408" t="str">
        <f t="shared" si="11"/>
        <v>0</v>
      </c>
      <c r="Z13" s="410">
        <v>1.03E-2</v>
      </c>
      <c r="AA13" s="408">
        <f t="shared" si="12"/>
        <v>10.125</v>
      </c>
      <c r="AB13" s="411">
        <v>1</v>
      </c>
      <c r="AC13" s="408">
        <f t="shared" si="13"/>
        <v>1.5</v>
      </c>
      <c r="AD13" s="409">
        <v>1.0498000000000001</v>
      </c>
      <c r="AE13" s="409">
        <f t="shared" si="14"/>
        <v>3.375</v>
      </c>
      <c r="AF13" s="411">
        <v>0</v>
      </c>
      <c r="AG13" s="409" t="str">
        <f t="shared" si="15"/>
        <v>0</v>
      </c>
      <c r="AH13" s="409">
        <v>4.7800000000000002E-2</v>
      </c>
      <c r="AI13" s="409">
        <f t="shared" si="16"/>
        <v>4.5</v>
      </c>
      <c r="AJ13" s="406">
        <v>0</v>
      </c>
      <c r="AK13" s="406" t="str">
        <f t="shared" si="17"/>
        <v>0</v>
      </c>
      <c r="AL13" s="415">
        <f t="shared" si="18"/>
        <v>62.75</v>
      </c>
      <c r="AM13" s="416" t="s">
        <v>790</v>
      </c>
    </row>
    <row r="14" spans="1:39">
      <c r="A14" s="404" t="s">
        <v>788</v>
      </c>
      <c r="B14" s="405">
        <v>0.5</v>
      </c>
      <c r="C14" s="405">
        <f t="shared" si="0"/>
        <v>6.75</v>
      </c>
      <c r="D14" s="406">
        <v>1</v>
      </c>
      <c r="E14" s="406">
        <f t="shared" si="1"/>
        <v>1.5</v>
      </c>
      <c r="F14" s="405">
        <v>1.2</v>
      </c>
      <c r="G14" s="405">
        <f t="shared" si="2"/>
        <v>6.75</v>
      </c>
      <c r="H14" s="406">
        <v>1</v>
      </c>
      <c r="I14" s="406">
        <f t="shared" si="3"/>
        <v>1.5</v>
      </c>
      <c r="J14" s="407">
        <v>3.1199999999999999E-2</v>
      </c>
      <c r="K14" s="408">
        <f t="shared" si="4"/>
        <v>3.75</v>
      </c>
      <c r="L14" s="407">
        <v>1.1512</v>
      </c>
      <c r="M14" s="408">
        <f>IF(L14&gt;QUARTILE($L$4:$L$15,3),$B$41,IF(AND(L14&lt;=QUARTILE($L$4:$L$15,3),L14&gt;QUARTILE($L$4:$L$15,2)),$B$40,IF(AND(L14&lt;=QUARTILE($L$4:$L$15,2),L14&gt;QUARTILE($L$4:$L$15,1)),$B$39,$B$38)))</f>
        <v>5</v>
      </c>
      <c r="N14" s="405">
        <v>13.5</v>
      </c>
      <c r="O14" s="409">
        <f t="shared" si="6"/>
        <v>4.5</v>
      </c>
      <c r="P14" s="405">
        <v>1</v>
      </c>
      <c r="Q14" s="405">
        <f t="shared" si="7"/>
        <v>0.5</v>
      </c>
      <c r="R14" s="410">
        <v>1.09E-2</v>
      </c>
      <c r="S14" s="408">
        <f t="shared" si="8"/>
        <v>4.5</v>
      </c>
      <c r="T14" s="411">
        <v>1</v>
      </c>
      <c r="U14" s="408">
        <f t="shared" si="9"/>
        <v>1</v>
      </c>
      <c r="V14" s="407">
        <v>1.6999999999999999E-3</v>
      </c>
      <c r="W14" s="408">
        <f t="shared" si="10"/>
        <v>6.75</v>
      </c>
      <c r="X14" s="411">
        <v>0</v>
      </c>
      <c r="Y14" s="408" t="str">
        <f t="shared" si="11"/>
        <v>0</v>
      </c>
      <c r="Z14" s="410">
        <v>8.9999999999999998E-4</v>
      </c>
      <c r="AA14" s="408">
        <f t="shared" si="12"/>
        <v>6.75</v>
      </c>
      <c r="AB14" s="411">
        <v>0</v>
      </c>
      <c r="AC14" s="408" t="str">
        <f t="shared" si="13"/>
        <v>0</v>
      </c>
      <c r="AD14" s="409">
        <v>1.0017</v>
      </c>
      <c r="AE14" s="409">
        <f t="shared" si="14"/>
        <v>1.125</v>
      </c>
      <c r="AF14" s="411">
        <v>0</v>
      </c>
      <c r="AG14" s="409" t="str">
        <f t="shared" si="15"/>
        <v>0</v>
      </c>
      <c r="AH14" s="409">
        <v>5.4699999999999999E-2</v>
      </c>
      <c r="AI14" s="409">
        <f t="shared" si="16"/>
        <v>6.75</v>
      </c>
      <c r="AJ14" s="406">
        <v>0</v>
      </c>
      <c r="AK14" s="406" t="str">
        <f t="shared" si="17"/>
        <v>0</v>
      </c>
      <c r="AL14" s="415">
        <f t="shared" si="18"/>
        <v>57.125</v>
      </c>
      <c r="AM14" s="416" t="s">
        <v>788</v>
      </c>
    </row>
    <row r="15" spans="1:39">
      <c r="A15" s="404" t="s">
        <v>786</v>
      </c>
      <c r="B15" s="405">
        <v>3.5</v>
      </c>
      <c r="C15" s="405">
        <f t="shared" si="0"/>
        <v>10.125</v>
      </c>
      <c r="D15" s="406">
        <v>1</v>
      </c>
      <c r="E15" s="406">
        <f t="shared" si="1"/>
        <v>1.5</v>
      </c>
      <c r="F15" s="405">
        <v>2.2000000000000002</v>
      </c>
      <c r="G15" s="405">
        <f t="shared" si="2"/>
        <v>6.75</v>
      </c>
      <c r="H15" s="406">
        <v>1</v>
      </c>
      <c r="I15" s="406">
        <f t="shared" si="3"/>
        <v>1.5</v>
      </c>
      <c r="J15" s="407">
        <v>0.31619999999999998</v>
      </c>
      <c r="K15" s="408">
        <f t="shared" si="4"/>
        <v>5</v>
      </c>
      <c r="L15" s="407">
        <v>1.0103</v>
      </c>
      <c r="M15" s="408">
        <f>IF(L15&gt;QUARTILE($L$4:$L$15,3),$B$41,IF(AND(L15&lt;=QUARTILE($L$4:$L$15,3),L15&gt;QUARTILE($L$4:$L$15,2)),$B$40,IF(AND(L15&lt;=QUARTILE($L$4:$L$15,2),L15&gt;QUARTILE($L$4:$L$15,1)),$B$39,$B$38)))</f>
        <v>3.75</v>
      </c>
      <c r="N15" s="405">
        <v>121.75</v>
      </c>
      <c r="O15" s="409">
        <f t="shared" si="6"/>
        <v>3.375</v>
      </c>
      <c r="P15" s="405">
        <v>1</v>
      </c>
      <c r="Q15" s="405">
        <f t="shared" si="7"/>
        <v>0.5</v>
      </c>
      <c r="R15" s="410">
        <v>0.12429999999999999</v>
      </c>
      <c r="S15" s="408">
        <f t="shared" si="8"/>
        <v>6.75</v>
      </c>
      <c r="T15" s="411">
        <v>1</v>
      </c>
      <c r="U15" s="408">
        <f t="shared" si="9"/>
        <v>1</v>
      </c>
      <c r="V15" s="407">
        <v>0.1052</v>
      </c>
      <c r="W15" s="408">
        <f t="shared" si="10"/>
        <v>13.5</v>
      </c>
      <c r="X15" s="411">
        <v>0</v>
      </c>
      <c r="Y15" s="408" t="str">
        <f t="shared" si="11"/>
        <v>0</v>
      </c>
      <c r="Z15" s="410">
        <v>1.7500000000000002E-2</v>
      </c>
      <c r="AA15" s="408">
        <f t="shared" si="12"/>
        <v>10.125</v>
      </c>
      <c r="AB15" s="411">
        <v>1</v>
      </c>
      <c r="AC15" s="408">
        <f t="shared" si="13"/>
        <v>1.5</v>
      </c>
      <c r="AD15" s="409">
        <v>1.113</v>
      </c>
      <c r="AE15" s="409">
        <f t="shared" si="14"/>
        <v>4.5</v>
      </c>
      <c r="AF15" s="411">
        <v>0</v>
      </c>
      <c r="AG15" s="409" t="str">
        <f t="shared" si="15"/>
        <v>0</v>
      </c>
      <c r="AH15" s="409">
        <v>6.2100000000000002E-2</v>
      </c>
      <c r="AI15" s="409">
        <f t="shared" si="16"/>
        <v>6.75</v>
      </c>
      <c r="AJ15" s="406">
        <v>0</v>
      </c>
      <c r="AK15" s="406" t="str">
        <f t="shared" si="17"/>
        <v>0</v>
      </c>
      <c r="AL15" s="415">
        <f t="shared" si="18"/>
        <v>76.625</v>
      </c>
      <c r="AM15" s="416" t="s">
        <v>786</v>
      </c>
    </row>
    <row r="16" spans="1:39">
      <c r="S16" s="261"/>
      <c r="AE16" s="358"/>
      <c r="AF16" s="261"/>
      <c r="AG16" s="261"/>
      <c r="AH16" s="261"/>
      <c r="AI16" s="358"/>
      <c r="AJ16" s="261"/>
      <c r="AK16" s="261"/>
      <c r="AL16"/>
      <c r="AM16"/>
    </row>
    <row r="17" spans="1:39" ht="18.75">
      <c r="A17" s="267" t="s">
        <v>60</v>
      </c>
      <c r="B17" s="267" t="s">
        <v>59</v>
      </c>
      <c r="C17" s="267"/>
      <c r="D17" s="267"/>
      <c r="E17" s="267"/>
      <c r="F17" s="267" t="s">
        <v>58</v>
      </c>
      <c r="G17" s="267"/>
      <c r="H17" s="266"/>
      <c r="I17" s="266"/>
      <c r="J17" s="266"/>
      <c r="K17" s="266"/>
      <c r="L17" s="266" t="s">
        <v>57</v>
      </c>
      <c r="M17" s="266"/>
      <c r="AE17" s="261"/>
      <c r="AF17" s="261"/>
      <c r="AG17" s="261"/>
      <c r="AH17" s="261"/>
      <c r="AI17" s="261"/>
      <c r="AJ17" s="261"/>
      <c r="AK17" s="261"/>
      <c r="AL17"/>
      <c r="AM17"/>
    </row>
    <row r="18" spans="1:39" ht="17.25">
      <c r="A18" s="265" t="s">
        <v>56</v>
      </c>
      <c r="B18" s="256">
        <v>13.5</v>
      </c>
      <c r="C18" s="256"/>
      <c r="D18" s="264"/>
      <c r="E18" s="264"/>
      <c r="F18" s="256">
        <f>L18*0.1</f>
        <v>1.5</v>
      </c>
      <c r="G18" s="256"/>
      <c r="H18" s="262"/>
      <c r="I18" s="262"/>
      <c r="J18" s="262"/>
      <c r="K18" s="262"/>
      <c r="L18" s="256">
        <v>15</v>
      </c>
      <c r="M18" s="256"/>
      <c r="AF18" s="261"/>
      <c r="AG18" s="261"/>
      <c r="AH18" s="261"/>
      <c r="AI18" s="261"/>
      <c r="AJ18" s="261"/>
      <c r="AK18" s="261"/>
    </row>
    <row r="19" spans="1:39">
      <c r="A19" s="252" t="s">
        <v>727</v>
      </c>
      <c r="B19" s="250">
        <f>B18*0.25</f>
        <v>3.375</v>
      </c>
      <c r="C19" s="250"/>
      <c r="D19" s="250"/>
      <c r="E19" s="250"/>
      <c r="F19" s="250" t="s">
        <v>7</v>
      </c>
      <c r="G19" s="250"/>
      <c r="H19" s="236">
        <v>1.5</v>
      </c>
      <c r="S19" s="252"/>
      <c r="X19" s="252"/>
      <c r="AA19" s="252"/>
      <c r="AF19" s="261"/>
      <c r="AG19" s="261"/>
      <c r="AH19" s="261"/>
      <c r="AJ19" s="261"/>
      <c r="AK19" s="261"/>
    </row>
    <row r="20" spans="1:39">
      <c r="A20" s="252" t="s">
        <v>837</v>
      </c>
      <c r="B20" s="250">
        <f>B18*0.5</f>
        <v>6.75</v>
      </c>
      <c r="C20" s="250"/>
      <c r="D20" s="250"/>
      <c r="E20" s="250"/>
      <c r="F20" s="250" t="s">
        <v>4</v>
      </c>
      <c r="G20" s="250"/>
      <c r="H20" s="236">
        <v>0</v>
      </c>
      <c r="S20" s="252"/>
      <c r="X20" s="252"/>
      <c r="AA20" s="252"/>
      <c r="AF20" s="261"/>
      <c r="AG20" s="261"/>
      <c r="AH20" s="261"/>
      <c r="AJ20" s="261"/>
      <c r="AK20" s="261"/>
    </row>
    <row r="21" spans="1:39">
      <c r="A21" s="252" t="s">
        <v>836</v>
      </c>
      <c r="B21" s="250">
        <f>B18*0.75</f>
        <v>10.125</v>
      </c>
      <c r="C21" s="250"/>
      <c r="D21" s="250"/>
      <c r="E21" s="250"/>
      <c r="F21" s="250"/>
      <c r="G21" s="250"/>
      <c r="S21" s="252"/>
      <c r="X21" s="252"/>
      <c r="AA21" s="252"/>
      <c r="AF21" s="261"/>
      <c r="AG21" s="261"/>
      <c r="AH21" s="261"/>
      <c r="AJ21" s="261"/>
      <c r="AK21" s="261"/>
    </row>
    <row r="22" spans="1:39">
      <c r="A22" s="252" t="s">
        <v>222</v>
      </c>
      <c r="B22" s="250">
        <f>B18*1</f>
        <v>13.5</v>
      </c>
      <c r="C22" s="250"/>
      <c r="D22" s="250"/>
      <c r="E22" s="250"/>
      <c r="F22" s="250"/>
      <c r="G22" s="250"/>
      <c r="S22" s="252"/>
      <c r="X22" s="252"/>
      <c r="AA22" s="252"/>
    </row>
    <row r="23" spans="1:39">
      <c r="A23" s="252"/>
      <c r="B23" s="250"/>
      <c r="C23" s="250"/>
      <c r="D23" s="250"/>
      <c r="E23" s="250"/>
      <c r="F23" s="250"/>
      <c r="G23" s="250"/>
    </row>
    <row r="24" spans="1:39" ht="17.25">
      <c r="A24" s="260" t="s">
        <v>51</v>
      </c>
      <c r="B24" s="256">
        <v>13.5</v>
      </c>
      <c r="C24" s="250"/>
      <c r="D24" s="250"/>
      <c r="E24" s="250"/>
      <c r="F24" s="250"/>
      <c r="G24" s="250"/>
    </row>
    <row r="25" spans="1:39">
      <c r="A25" s="252" t="s">
        <v>50</v>
      </c>
      <c r="B25" s="250">
        <f>B24*0.25</f>
        <v>3.375</v>
      </c>
      <c r="C25" s="256"/>
      <c r="D25" s="264"/>
      <c r="E25" s="264"/>
      <c r="F25" s="256">
        <f>L25*0.1</f>
        <v>1.5</v>
      </c>
      <c r="G25" s="256"/>
      <c r="H25" s="262"/>
      <c r="I25" s="262"/>
      <c r="J25" s="262"/>
      <c r="K25" s="262"/>
      <c r="L25" s="256">
        <v>15</v>
      </c>
      <c r="M25" s="256"/>
    </row>
    <row r="26" spans="1:39">
      <c r="A26" s="252" t="s">
        <v>221</v>
      </c>
      <c r="B26" s="250">
        <f>B24*0.5</f>
        <v>6.75</v>
      </c>
      <c r="C26" s="250"/>
      <c r="D26" s="250"/>
      <c r="E26" s="250"/>
      <c r="F26" s="250" t="s">
        <v>7</v>
      </c>
      <c r="G26" s="250"/>
      <c r="H26" s="236">
        <v>1.5</v>
      </c>
    </row>
    <row r="27" spans="1:39">
      <c r="A27" s="252" t="s">
        <v>835</v>
      </c>
      <c r="B27" s="250">
        <f>B24*0.75</f>
        <v>10.125</v>
      </c>
      <c r="C27" s="250"/>
      <c r="D27" s="250"/>
      <c r="E27" s="250"/>
      <c r="F27" s="250" t="s">
        <v>4</v>
      </c>
      <c r="G27" s="250"/>
      <c r="H27" s="236">
        <v>0</v>
      </c>
    </row>
    <row r="28" spans="1:39">
      <c r="A28" s="252" t="s">
        <v>834</v>
      </c>
      <c r="B28" s="250">
        <f>B24*1</f>
        <v>13.5</v>
      </c>
      <c r="C28" s="250"/>
      <c r="D28" s="250"/>
      <c r="E28" s="250"/>
      <c r="F28" s="250"/>
      <c r="G28" s="250"/>
    </row>
    <row r="29" spans="1:39">
      <c r="A29" s="252"/>
      <c r="B29" s="250"/>
      <c r="C29" s="250"/>
      <c r="D29" s="250"/>
      <c r="E29" s="250"/>
      <c r="F29" s="250"/>
      <c r="G29" s="250"/>
    </row>
    <row r="30" spans="1:39">
      <c r="A30" s="252"/>
      <c r="B30" s="250"/>
      <c r="C30" s="250"/>
      <c r="D30" s="250"/>
      <c r="E30" s="250"/>
      <c r="F30" s="250"/>
      <c r="G30" s="250"/>
    </row>
    <row r="31" spans="1:39" ht="17.25">
      <c r="A31" s="260" t="s">
        <v>46</v>
      </c>
      <c r="B31" s="256">
        <v>5</v>
      </c>
      <c r="C31" s="315" t="s">
        <v>10</v>
      </c>
      <c r="D31" s="325"/>
      <c r="E31" s="250"/>
      <c r="F31" s="250"/>
      <c r="G31" s="250"/>
      <c r="L31" s="249">
        <v>5</v>
      </c>
      <c r="M31" s="249"/>
    </row>
    <row r="32" spans="1:39">
      <c r="A32" s="236" t="s">
        <v>833</v>
      </c>
      <c r="B32" s="250">
        <f>B31*0.25</f>
        <v>1.25</v>
      </c>
      <c r="C32" s="313" t="s">
        <v>8</v>
      </c>
      <c r="D32" s="321">
        <f>QUARTILE(J4:J15,1)</f>
        <v>-1.0825000000000001E-2</v>
      </c>
      <c r="E32" s="250"/>
      <c r="F32" s="250"/>
      <c r="G32" s="250"/>
    </row>
    <row r="33" spans="1:13">
      <c r="A33" s="236" t="s">
        <v>832</v>
      </c>
      <c r="B33" s="250">
        <f>B31*0.5</f>
        <v>2.5</v>
      </c>
      <c r="C33" s="313" t="s">
        <v>5</v>
      </c>
      <c r="D33" s="321">
        <f>QUARTILE(J4:J15,2)</f>
        <v>8.4000000000000012E-3</v>
      </c>
      <c r="E33" s="250"/>
      <c r="F33" s="250"/>
      <c r="G33" s="250"/>
    </row>
    <row r="34" spans="1:13">
      <c r="A34" s="236" t="s">
        <v>831</v>
      </c>
      <c r="B34" s="250">
        <f>B31*0.75</f>
        <v>3.75</v>
      </c>
      <c r="C34" s="313" t="s">
        <v>2</v>
      </c>
      <c r="D34" s="321">
        <f>QUARTILE(J4:J15,3)</f>
        <v>6.1024999999999996E-2</v>
      </c>
      <c r="E34" s="250"/>
      <c r="F34" s="250"/>
      <c r="G34" s="250"/>
    </row>
    <row r="35" spans="1:13">
      <c r="A35" s="236" t="s">
        <v>830</v>
      </c>
      <c r="B35" s="250">
        <f>B31*1</f>
        <v>5</v>
      </c>
      <c r="C35" s="311"/>
      <c r="D35" s="317"/>
      <c r="E35" s="250"/>
      <c r="F35" s="250"/>
      <c r="G35" s="250"/>
    </row>
    <row r="36" spans="1:13">
      <c r="A36" s="252"/>
      <c r="B36" s="250"/>
      <c r="C36" s="250"/>
      <c r="D36" s="276"/>
      <c r="E36" s="250"/>
      <c r="F36" s="250"/>
      <c r="G36" s="250"/>
    </row>
    <row r="37" spans="1:13" ht="17.25">
      <c r="A37" s="260" t="s">
        <v>41</v>
      </c>
      <c r="B37" s="256">
        <v>5</v>
      </c>
      <c r="C37" s="315" t="s">
        <v>10</v>
      </c>
      <c r="D37" s="323"/>
      <c r="E37" s="250"/>
      <c r="F37" s="250"/>
      <c r="G37" s="250"/>
      <c r="L37" s="249">
        <v>5</v>
      </c>
      <c r="M37" s="249"/>
    </row>
    <row r="38" spans="1:13">
      <c r="A38" s="236" t="s">
        <v>829</v>
      </c>
      <c r="B38" s="250">
        <f>B37*0.25</f>
        <v>1.25</v>
      </c>
      <c r="C38" s="313" t="s">
        <v>8</v>
      </c>
      <c r="D38" s="321">
        <f>QUARTILE(L4:L15,1)</f>
        <v>-0.12795000000000001</v>
      </c>
      <c r="E38" s="250"/>
      <c r="F38" s="250"/>
      <c r="G38" s="250"/>
    </row>
    <row r="39" spans="1:13">
      <c r="A39" s="236" t="s">
        <v>828</v>
      </c>
      <c r="B39" s="250">
        <f>B37*0.5</f>
        <v>2.5</v>
      </c>
      <c r="C39" s="313" t="s">
        <v>5</v>
      </c>
      <c r="D39" s="321">
        <f>QUARTILE(L4:L15,2)</f>
        <v>0.46660000000000001</v>
      </c>
      <c r="E39" s="250"/>
      <c r="F39" s="250"/>
      <c r="G39" s="250"/>
    </row>
    <row r="40" spans="1:13">
      <c r="A40" s="236" t="s">
        <v>827</v>
      </c>
      <c r="B40" s="250">
        <f>B37*0.75</f>
        <v>3.75</v>
      </c>
      <c r="C40" s="313" t="s">
        <v>2</v>
      </c>
      <c r="D40" s="321">
        <f>QUARTILE(L4:L15,3)</f>
        <v>1.0629</v>
      </c>
      <c r="E40" s="250"/>
      <c r="F40" s="250"/>
      <c r="G40" s="250"/>
    </row>
    <row r="41" spans="1:13">
      <c r="A41" s="236" t="s">
        <v>826</v>
      </c>
      <c r="B41" s="250">
        <f>B37*1</f>
        <v>5</v>
      </c>
      <c r="C41" s="311"/>
      <c r="D41" s="317"/>
      <c r="E41" s="250"/>
      <c r="F41" s="250"/>
      <c r="G41" s="250"/>
    </row>
    <row r="42" spans="1:13">
      <c r="A42" s="252"/>
      <c r="B42" s="250"/>
      <c r="C42" s="250"/>
      <c r="D42" s="250"/>
      <c r="E42" s="250"/>
      <c r="F42" s="250"/>
      <c r="G42" s="250"/>
    </row>
    <row r="43" spans="1:13" ht="17.25">
      <c r="A43" s="257" t="s">
        <v>36</v>
      </c>
      <c r="B43" s="256">
        <v>4.5</v>
      </c>
      <c r="C43" s="315" t="s">
        <v>10</v>
      </c>
      <c r="D43" s="314"/>
      <c r="E43" s="254"/>
      <c r="F43" s="254">
        <f>L43*0.1</f>
        <v>0.5</v>
      </c>
      <c r="G43" s="254"/>
      <c r="H43" s="258"/>
      <c r="I43" s="258"/>
      <c r="J43" s="258"/>
      <c r="K43" s="258"/>
      <c r="L43" s="254">
        <v>5</v>
      </c>
      <c r="M43" s="254"/>
    </row>
    <row r="44" spans="1:13">
      <c r="A44" s="236" t="s">
        <v>825</v>
      </c>
      <c r="B44" s="250">
        <f>B43*1</f>
        <v>4.5</v>
      </c>
      <c r="C44" s="313" t="s">
        <v>8</v>
      </c>
      <c r="D44" s="318">
        <f>QUARTILE(N4:N15,1)</f>
        <v>39.237499999999997</v>
      </c>
      <c r="E44" s="250"/>
      <c r="F44" s="250" t="s">
        <v>7</v>
      </c>
      <c r="G44" s="250"/>
      <c r="H44" s="236">
        <v>0.5</v>
      </c>
    </row>
    <row r="45" spans="1:13">
      <c r="A45" s="236" t="s">
        <v>824</v>
      </c>
      <c r="B45" s="250">
        <f>B43*0.75</f>
        <v>3.375</v>
      </c>
      <c r="C45" s="313" t="s">
        <v>5</v>
      </c>
      <c r="D45" s="316">
        <f>QUARTILE(N4:N15,2)</f>
        <v>130.68</v>
      </c>
      <c r="E45" s="250"/>
      <c r="F45" s="250" t="s">
        <v>4</v>
      </c>
      <c r="G45" s="250"/>
      <c r="H45" s="236">
        <v>0</v>
      </c>
    </row>
    <row r="46" spans="1:13">
      <c r="A46" s="236" t="s">
        <v>823</v>
      </c>
      <c r="B46" s="250">
        <f>B43*0.5</f>
        <v>2.25</v>
      </c>
      <c r="C46" s="313" t="s">
        <v>2</v>
      </c>
      <c r="D46" s="316">
        <f>QUARTILE(N4:N15,3)</f>
        <v>163.63499999999999</v>
      </c>
      <c r="E46" s="250"/>
      <c r="F46" s="250"/>
      <c r="G46" s="250"/>
    </row>
    <row r="47" spans="1:13">
      <c r="A47" s="236" t="s">
        <v>822</v>
      </c>
      <c r="B47" s="250">
        <f>B43*0.25</f>
        <v>1.125</v>
      </c>
      <c r="C47" s="311"/>
      <c r="D47" s="310"/>
      <c r="E47" s="250"/>
      <c r="F47" s="250"/>
      <c r="G47" s="250"/>
    </row>
    <row r="48" spans="1:13">
      <c r="A48" s="252"/>
      <c r="B48" s="250"/>
      <c r="C48" s="250"/>
      <c r="D48" s="250"/>
      <c r="E48" s="250"/>
      <c r="F48" s="250"/>
      <c r="G48" s="250"/>
    </row>
    <row r="49" spans="1:13" ht="17.25">
      <c r="A49" s="257" t="s">
        <v>31</v>
      </c>
      <c r="B49" s="256">
        <v>9</v>
      </c>
      <c r="C49" s="254"/>
      <c r="D49" s="254"/>
      <c r="E49" s="254"/>
      <c r="F49" s="254">
        <f>L49*0.1</f>
        <v>1</v>
      </c>
      <c r="G49" s="254"/>
      <c r="H49" s="258"/>
      <c r="I49" s="258"/>
      <c r="J49" s="258"/>
      <c r="K49" s="258"/>
      <c r="L49" s="254">
        <v>10</v>
      </c>
      <c r="M49" s="254"/>
    </row>
    <row r="50" spans="1:13">
      <c r="A50" s="252" t="s">
        <v>206</v>
      </c>
      <c r="B50" s="250">
        <f>B49*0.25</f>
        <v>2.25</v>
      </c>
      <c r="C50" s="250"/>
      <c r="D50" s="250"/>
      <c r="E50" s="250"/>
      <c r="F50" s="250" t="s">
        <v>7</v>
      </c>
      <c r="G50" s="250"/>
      <c r="H50" s="236">
        <v>1</v>
      </c>
    </row>
    <row r="51" spans="1:13">
      <c r="A51" s="252" t="s">
        <v>205</v>
      </c>
      <c r="B51" s="250">
        <f>B49*0.5</f>
        <v>4.5</v>
      </c>
      <c r="C51" s="250"/>
      <c r="D51" s="250"/>
      <c r="E51" s="250"/>
      <c r="F51" s="250" t="s">
        <v>4</v>
      </c>
      <c r="G51" s="250"/>
      <c r="H51" s="236">
        <v>0</v>
      </c>
    </row>
    <row r="52" spans="1:13">
      <c r="A52" s="252" t="s">
        <v>204</v>
      </c>
      <c r="B52" s="250">
        <f>B49*0.75</f>
        <v>6.75</v>
      </c>
      <c r="C52" s="250"/>
      <c r="D52" s="250"/>
      <c r="E52" s="250"/>
      <c r="F52" s="250"/>
      <c r="G52" s="250"/>
    </row>
    <row r="53" spans="1:13">
      <c r="A53" s="252" t="s">
        <v>203</v>
      </c>
      <c r="B53" s="250">
        <f>B49*1</f>
        <v>9</v>
      </c>
      <c r="C53" s="250"/>
      <c r="D53" s="250"/>
      <c r="E53" s="250"/>
      <c r="F53" s="250"/>
      <c r="G53" s="250"/>
    </row>
    <row r="54" spans="1:13">
      <c r="A54" s="252"/>
      <c r="B54" s="250"/>
      <c r="C54" s="250"/>
      <c r="D54" s="250"/>
      <c r="E54" s="250"/>
      <c r="F54" s="250"/>
      <c r="G54" s="250"/>
    </row>
    <row r="55" spans="1:13" ht="17.25">
      <c r="A55" s="257" t="s">
        <v>26</v>
      </c>
      <c r="B55" s="256">
        <v>13.5</v>
      </c>
      <c r="C55" s="254"/>
      <c r="D55" s="254"/>
      <c r="E55" s="254"/>
      <c r="F55" s="254">
        <f>L55*0.1</f>
        <v>1.5</v>
      </c>
      <c r="G55" s="254"/>
      <c r="H55" s="258"/>
      <c r="I55" s="258"/>
      <c r="J55" s="258"/>
      <c r="K55" s="258"/>
      <c r="L55" s="254">
        <v>15</v>
      </c>
      <c r="M55" s="254"/>
    </row>
    <row r="56" spans="1:13">
      <c r="A56" s="252" t="s">
        <v>202</v>
      </c>
      <c r="B56" s="250">
        <f>B55*0.25</f>
        <v>3.375</v>
      </c>
      <c r="C56" s="250"/>
      <c r="D56" s="250"/>
      <c r="E56" s="250"/>
      <c r="F56" s="250" t="s">
        <v>7</v>
      </c>
      <c r="G56" s="250"/>
      <c r="H56" s="236">
        <v>1.5</v>
      </c>
    </row>
    <row r="57" spans="1:13">
      <c r="A57" s="252" t="s">
        <v>201</v>
      </c>
      <c r="B57" s="250">
        <f>B55*0.5</f>
        <v>6.75</v>
      </c>
      <c r="C57" s="250"/>
      <c r="D57" s="250"/>
      <c r="E57" s="250"/>
      <c r="F57" s="250" t="s">
        <v>4</v>
      </c>
      <c r="G57" s="250"/>
      <c r="H57" s="236">
        <v>0</v>
      </c>
    </row>
    <row r="58" spans="1:13">
      <c r="A58" s="252" t="s">
        <v>200</v>
      </c>
      <c r="B58" s="250">
        <f>B55*0.75</f>
        <v>10.125</v>
      </c>
      <c r="C58" s="250"/>
      <c r="D58" s="250"/>
      <c r="E58" s="250"/>
      <c r="F58" s="250"/>
      <c r="G58" s="250"/>
    </row>
    <row r="59" spans="1:13">
      <c r="A59" s="252" t="s">
        <v>199</v>
      </c>
      <c r="B59" s="250">
        <f>B55*1</f>
        <v>13.5</v>
      </c>
      <c r="C59" s="250"/>
      <c r="D59" s="250"/>
      <c r="E59" s="250"/>
      <c r="F59" s="250"/>
      <c r="G59" s="250"/>
    </row>
    <row r="60" spans="1:13">
      <c r="A60" s="252"/>
      <c r="B60" s="250"/>
      <c r="C60" s="250"/>
      <c r="D60" s="250"/>
      <c r="E60" s="250"/>
      <c r="F60" s="250"/>
      <c r="G60" s="250"/>
    </row>
    <row r="61" spans="1:13" ht="17.25">
      <c r="A61" s="257" t="s">
        <v>21</v>
      </c>
      <c r="B61" s="256">
        <v>13.5</v>
      </c>
      <c r="C61" s="254"/>
      <c r="D61" s="254"/>
      <c r="E61" s="254"/>
      <c r="F61" s="254">
        <f>L61*0.1</f>
        <v>1.5</v>
      </c>
      <c r="G61" s="254"/>
      <c r="H61" s="258"/>
      <c r="I61" s="258"/>
      <c r="J61" s="258"/>
      <c r="K61" s="258"/>
      <c r="L61" s="254">
        <v>15</v>
      </c>
      <c r="M61" s="254"/>
    </row>
    <row r="62" spans="1:13">
      <c r="A62" s="252" t="s">
        <v>198</v>
      </c>
      <c r="B62" s="250">
        <f>B61*0.25</f>
        <v>3.375</v>
      </c>
      <c r="C62" s="250"/>
      <c r="D62" s="250"/>
      <c r="E62" s="250"/>
      <c r="F62" s="250" t="s">
        <v>7</v>
      </c>
      <c r="G62" s="250"/>
      <c r="H62" s="236">
        <v>1.5</v>
      </c>
    </row>
    <row r="63" spans="1:13">
      <c r="A63" s="252" t="s">
        <v>197</v>
      </c>
      <c r="B63" s="250">
        <f>B61*0.5</f>
        <v>6.75</v>
      </c>
      <c r="C63" s="250"/>
      <c r="D63" s="250"/>
      <c r="E63" s="250"/>
      <c r="F63" s="250" t="s">
        <v>4</v>
      </c>
      <c r="G63" s="250"/>
      <c r="H63" s="236">
        <v>0</v>
      </c>
    </row>
    <row r="64" spans="1:13">
      <c r="A64" s="252" t="s">
        <v>821</v>
      </c>
      <c r="B64" s="250">
        <f>B61*0.75</f>
        <v>10.125</v>
      </c>
      <c r="C64" s="250"/>
      <c r="D64" s="250"/>
      <c r="E64" s="250"/>
      <c r="F64" s="250"/>
      <c r="G64" s="250"/>
    </row>
    <row r="65" spans="1:13">
      <c r="A65" s="252" t="s">
        <v>195</v>
      </c>
      <c r="B65" s="250">
        <f>B61*1</f>
        <v>13.5</v>
      </c>
      <c r="C65" s="250"/>
      <c r="D65" s="250"/>
      <c r="E65" s="250"/>
      <c r="F65" s="250"/>
      <c r="G65" s="250"/>
    </row>
    <row r="66" spans="1:13">
      <c r="A66" s="252"/>
      <c r="B66" s="250"/>
      <c r="C66" s="250"/>
      <c r="D66" s="250"/>
      <c r="E66" s="250"/>
      <c r="F66" s="250"/>
      <c r="G66" s="250"/>
    </row>
    <row r="67" spans="1:13" ht="17.25">
      <c r="A67" s="257" t="s">
        <v>16</v>
      </c>
      <c r="B67" s="256">
        <v>4.5</v>
      </c>
      <c r="C67" s="315" t="s">
        <v>10</v>
      </c>
      <c r="D67" s="314"/>
      <c r="E67" s="254"/>
      <c r="F67" s="254">
        <f>L67*0.1</f>
        <v>0.5</v>
      </c>
      <c r="G67" s="254"/>
      <c r="H67" s="258"/>
      <c r="I67" s="258"/>
      <c r="J67" s="258"/>
      <c r="K67" s="258"/>
      <c r="L67" s="254">
        <v>5</v>
      </c>
      <c r="M67" s="254"/>
    </row>
    <row r="68" spans="1:13">
      <c r="A68" s="236" t="s">
        <v>820</v>
      </c>
      <c r="B68" s="250">
        <f>B67*0.25</f>
        <v>1.125</v>
      </c>
      <c r="C68" s="313" t="s">
        <v>8</v>
      </c>
      <c r="D68" s="357">
        <f>QUARTILE(AD4:AD15,1)</f>
        <v>1.0137750000000001</v>
      </c>
      <c r="E68" s="250"/>
      <c r="F68" s="250" t="s">
        <v>7</v>
      </c>
      <c r="G68" s="250"/>
      <c r="H68" s="236">
        <v>0.5</v>
      </c>
    </row>
    <row r="69" spans="1:13">
      <c r="A69" s="236" t="s">
        <v>819</v>
      </c>
      <c r="B69" s="250">
        <f>B67*0.5</f>
        <v>2.25</v>
      </c>
      <c r="C69" s="313" t="s">
        <v>5</v>
      </c>
      <c r="D69" s="357">
        <f>QUARTILE(AD4:AD15,2)</f>
        <v>1.03515</v>
      </c>
      <c r="E69" s="250"/>
      <c r="F69" s="250" t="s">
        <v>4</v>
      </c>
      <c r="G69" s="250"/>
      <c r="H69" s="236">
        <v>0</v>
      </c>
    </row>
    <row r="70" spans="1:13">
      <c r="A70" s="236" t="s">
        <v>818</v>
      </c>
      <c r="B70" s="250">
        <f>B67*0.75</f>
        <v>3.375</v>
      </c>
      <c r="C70" s="313" t="s">
        <v>2</v>
      </c>
      <c r="D70" s="357">
        <f>QUARTILE(AD4:AD15,3)</f>
        <v>1.1110500000000001</v>
      </c>
      <c r="E70" s="250"/>
      <c r="F70" s="250"/>
      <c r="G70" s="250"/>
    </row>
    <row r="71" spans="1:13">
      <c r="A71" s="236" t="s">
        <v>817</v>
      </c>
      <c r="B71" s="250">
        <f>B67*1</f>
        <v>4.5</v>
      </c>
      <c r="C71" s="311"/>
      <c r="D71" s="310"/>
      <c r="E71" s="250"/>
      <c r="F71" s="250"/>
      <c r="G71" s="250"/>
    </row>
    <row r="72" spans="1:13">
      <c r="A72" s="252"/>
      <c r="B72" s="250"/>
      <c r="C72" s="250"/>
      <c r="D72" s="250"/>
      <c r="E72" s="250"/>
      <c r="F72" s="250"/>
      <c r="G72" s="250"/>
    </row>
    <row r="73" spans="1:13" ht="17.25">
      <c r="A73" s="257" t="s">
        <v>11</v>
      </c>
      <c r="B73" s="256">
        <v>9</v>
      </c>
      <c r="C73" s="315" t="s">
        <v>10</v>
      </c>
      <c r="D73" s="314"/>
      <c r="E73" s="254"/>
      <c r="F73" s="254">
        <f>L73*0.1</f>
        <v>1</v>
      </c>
      <c r="G73" s="254"/>
      <c r="H73" s="254"/>
      <c r="I73" s="254"/>
      <c r="J73" s="254"/>
      <c r="K73" s="254"/>
      <c r="L73" s="254">
        <v>10</v>
      </c>
      <c r="M73" s="254"/>
    </row>
    <row r="74" spans="1:13">
      <c r="A74" s="236" t="s">
        <v>816</v>
      </c>
      <c r="B74" s="250">
        <f>B73*0.25</f>
        <v>2.25</v>
      </c>
      <c r="C74" s="313" t="s">
        <v>8</v>
      </c>
      <c r="D74" s="316">
        <f>QUARTILE(AH4:AH15,1)</f>
        <v>3.4375000000000003E-2</v>
      </c>
      <c r="E74" s="250"/>
      <c r="F74" s="250" t="s">
        <v>7</v>
      </c>
      <c r="G74" s="250"/>
      <c r="H74" s="236">
        <v>1</v>
      </c>
    </row>
    <row r="75" spans="1:13">
      <c r="A75" s="236" t="s">
        <v>815</v>
      </c>
      <c r="B75" s="250">
        <f>B73*0.5</f>
        <v>4.5</v>
      </c>
      <c r="C75" s="313" t="s">
        <v>5</v>
      </c>
      <c r="D75" s="316">
        <f>QUARTILE(AH4:AH15,2)</f>
        <v>5.185E-2</v>
      </c>
      <c r="E75" s="250"/>
      <c r="F75" s="250" t="s">
        <v>4</v>
      </c>
      <c r="G75" s="250"/>
      <c r="H75" s="236">
        <v>0</v>
      </c>
    </row>
    <row r="76" spans="1:13">
      <c r="A76" s="236" t="s">
        <v>814</v>
      </c>
      <c r="B76" s="250">
        <f>B73*0.75</f>
        <v>6.75</v>
      </c>
      <c r="C76" s="313" t="s">
        <v>2</v>
      </c>
      <c r="D76" s="316">
        <f>QUARTILE(AH4:AH15,3)</f>
        <v>7.6825000000000004E-2</v>
      </c>
      <c r="E76" s="250"/>
      <c r="F76" s="250"/>
      <c r="G76" s="250"/>
    </row>
    <row r="77" spans="1:13">
      <c r="A77" s="236" t="s">
        <v>813</v>
      </c>
      <c r="B77" s="250">
        <f>B73*1</f>
        <v>9</v>
      </c>
      <c r="C77" s="311"/>
      <c r="D77" s="310"/>
      <c r="E77" s="250"/>
      <c r="F77" s="250"/>
      <c r="G77" s="250"/>
    </row>
    <row r="78" spans="1:13">
      <c r="B78" s="250"/>
      <c r="C78" s="250"/>
      <c r="D78" s="250"/>
      <c r="E78" s="250"/>
      <c r="F78" s="250"/>
      <c r="G78" s="250"/>
    </row>
    <row r="79" spans="1:13" ht="18.75">
      <c r="B79" s="530" t="s">
        <v>0</v>
      </c>
      <c r="C79" s="530"/>
      <c r="D79" s="530"/>
      <c r="E79" s="530"/>
      <c r="F79" s="530"/>
      <c r="G79" s="530"/>
      <c r="H79" s="530"/>
      <c r="I79" s="530"/>
      <c r="J79" s="530"/>
      <c r="K79" s="249"/>
      <c r="L79" s="248">
        <f>SUM(L18:L76)</f>
        <v>100</v>
      </c>
      <c r="M79" s="248"/>
    </row>
  </sheetData>
  <mergeCells count="2">
    <mergeCell ref="A1:AJ2"/>
    <mergeCell ref="B79:J79"/>
  </mergeCells>
  <pageMargins left="0.75" right="0.75" top="1" bottom="1" header="0.5" footer="0.5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8"/>
  <sheetViews>
    <sheetView workbookViewId="0">
      <selection activeCell="E3" sqref="E3"/>
    </sheetView>
  </sheetViews>
  <sheetFormatPr defaultRowHeight="15"/>
  <cols>
    <col min="2" max="2" width="55.7109375" customWidth="1"/>
    <col min="3" max="3" width="11.7109375" customWidth="1"/>
    <col min="4" max="4" width="44.7109375" bestFit="1" customWidth="1"/>
    <col min="5" max="5" width="15.5703125" customWidth="1"/>
    <col min="6" max="6" width="19.28515625" bestFit="1" customWidth="1"/>
    <col min="7" max="7" width="14.85546875" bestFit="1" customWidth="1"/>
    <col min="10" max="10" width="38.85546875" bestFit="1" customWidth="1"/>
    <col min="11" max="11" width="55.5703125" bestFit="1" customWidth="1"/>
  </cols>
  <sheetData>
    <row r="1" spans="1:11">
      <c r="A1" s="29"/>
      <c r="B1" s="504"/>
      <c r="C1" s="504"/>
      <c r="D1" s="504"/>
      <c r="E1" s="504"/>
      <c r="F1" s="504"/>
      <c r="G1" s="504"/>
      <c r="J1" s="2"/>
    </row>
    <row r="2" spans="1:11">
      <c r="A2" s="29"/>
      <c r="B2" s="399"/>
      <c r="D2" s="399"/>
      <c r="E2" s="399"/>
      <c r="J2" s="399"/>
    </row>
    <row r="3" spans="1:11">
      <c r="A3" s="40"/>
      <c r="B3" s="558">
        <v>2012</v>
      </c>
      <c r="C3" s="451" t="s">
        <v>921</v>
      </c>
      <c r="D3" s="560">
        <v>2013</v>
      </c>
      <c r="E3" s="77" t="s">
        <v>93</v>
      </c>
      <c r="F3" s="98" t="s">
        <v>920</v>
      </c>
      <c r="G3" s="39" t="s">
        <v>917</v>
      </c>
      <c r="I3" s="27"/>
      <c r="J3" s="14"/>
    </row>
    <row r="4" spans="1:11">
      <c r="A4" s="452" t="s">
        <v>77</v>
      </c>
      <c r="B4" s="538" t="s">
        <v>124</v>
      </c>
      <c r="C4" s="43" t="s">
        <v>77</v>
      </c>
      <c r="D4" s="77" t="s">
        <v>128</v>
      </c>
      <c r="E4" s="38">
        <v>94.63</v>
      </c>
      <c r="F4" s="449">
        <v>1</v>
      </c>
      <c r="G4" s="38">
        <v>4.25</v>
      </c>
      <c r="H4" s="8"/>
      <c r="I4" s="27"/>
      <c r="J4" s="14"/>
    </row>
    <row r="5" spans="1:11">
      <c r="A5" s="452" t="s">
        <v>75</v>
      </c>
      <c r="B5" s="538" t="s">
        <v>128</v>
      </c>
      <c r="C5" s="43" t="s">
        <v>75</v>
      </c>
      <c r="D5" s="77" t="s">
        <v>125</v>
      </c>
      <c r="E5" s="38">
        <v>88.25</v>
      </c>
      <c r="F5" s="449">
        <v>4</v>
      </c>
      <c r="G5" s="38">
        <v>1.62</v>
      </c>
      <c r="H5" s="8"/>
      <c r="I5" s="27"/>
      <c r="J5" s="14"/>
      <c r="K5" s="14"/>
    </row>
    <row r="6" spans="1:11">
      <c r="A6" s="452" t="s">
        <v>69</v>
      </c>
      <c r="B6" s="538" t="s">
        <v>127</v>
      </c>
      <c r="C6" s="43" t="s">
        <v>69</v>
      </c>
      <c r="D6" s="77" t="s">
        <v>127</v>
      </c>
      <c r="E6" s="38">
        <v>88</v>
      </c>
      <c r="F6" s="39">
        <v>0</v>
      </c>
      <c r="G6" s="38">
        <v>-1.88</v>
      </c>
      <c r="H6" s="8"/>
      <c r="I6" s="27"/>
      <c r="J6" s="14"/>
      <c r="K6" s="14"/>
    </row>
    <row r="7" spans="1:11">
      <c r="A7" s="452" t="s">
        <v>63</v>
      </c>
      <c r="B7" s="538" t="s">
        <v>66</v>
      </c>
      <c r="C7" s="43" t="s">
        <v>63</v>
      </c>
      <c r="D7" s="77" t="s">
        <v>126</v>
      </c>
      <c r="E7" s="38">
        <v>83.25</v>
      </c>
      <c r="F7" s="449">
        <v>1</v>
      </c>
      <c r="G7" s="38">
        <v>5.37</v>
      </c>
      <c r="H7" s="8"/>
      <c r="I7" s="27"/>
      <c r="J7" s="14"/>
      <c r="K7" s="14"/>
    </row>
    <row r="8" spans="1:11">
      <c r="A8" s="452" t="s">
        <v>65</v>
      </c>
      <c r="B8" s="538" t="s">
        <v>126</v>
      </c>
      <c r="C8" s="43" t="s">
        <v>65</v>
      </c>
      <c r="D8" s="77" t="s">
        <v>66</v>
      </c>
      <c r="E8" s="38">
        <v>81.25</v>
      </c>
      <c r="F8" s="450">
        <v>1</v>
      </c>
      <c r="G8" s="38">
        <v>5.62</v>
      </c>
      <c r="H8" s="8"/>
      <c r="I8" s="27"/>
      <c r="J8" s="14"/>
      <c r="K8" s="14"/>
    </row>
    <row r="9" spans="1:11">
      <c r="A9" s="452" t="s">
        <v>73</v>
      </c>
      <c r="B9" s="538" t="s">
        <v>125</v>
      </c>
      <c r="C9" s="43" t="s">
        <v>73</v>
      </c>
      <c r="D9" s="77" t="s">
        <v>123</v>
      </c>
      <c r="E9" s="38">
        <v>76.25</v>
      </c>
      <c r="F9" s="449">
        <v>3</v>
      </c>
      <c r="G9" s="38">
        <v>24.62</v>
      </c>
      <c r="H9" s="8"/>
      <c r="I9" s="27"/>
      <c r="J9" s="14"/>
      <c r="K9" s="14"/>
    </row>
    <row r="10" spans="1:11">
      <c r="A10" s="452" t="s">
        <v>71</v>
      </c>
      <c r="B10" s="538" t="s">
        <v>74</v>
      </c>
      <c r="C10" s="43" t="s">
        <v>71</v>
      </c>
      <c r="D10" s="77" t="s">
        <v>74</v>
      </c>
      <c r="E10" s="38">
        <v>71.75</v>
      </c>
      <c r="F10" s="180">
        <v>0</v>
      </c>
      <c r="G10" s="38">
        <v>-4.13</v>
      </c>
      <c r="H10" s="8"/>
      <c r="I10" s="27"/>
      <c r="J10" s="14"/>
      <c r="K10" s="14"/>
    </row>
    <row r="11" spans="1:11">
      <c r="A11" s="452" t="s">
        <v>67</v>
      </c>
      <c r="B11" s="538" t="s">
        <v>80</v>
      </c>
      <c r="C11" s="43" t="s">
        <v>67</v>
      </c>
      <c r="D11" s="77" t="s">
        <v>124</v>
      </c>
      <c r="E11" s="38">
        <v>69.63</v>
      </c>
      <c r="F11" s="450">
        <v>7</v>
      </c>
      <c r="G11" s="38">
        <v>-23</v>
      </c>
      <c r="H11" s="8"/>
      <c r="I11" s="27"/>
      <c r="J11" s="14"/>
      <c r="K11" s="14"/>
    </row>
    <row r="12" spans="1:11">
      <c r="A12" s="452" t="s">
        <v>79</v>
      </c>
      <c r="B12" s="538" t="s">
        <v>123</v>
      </c>
      <c r="C12" s="43" t="s">
        <v>79</v>
      </c>
      <c r="D12" s="77" t="s">
        <v>80</v>
      </c>
      <c r="E12" s="38">
        <v>54.63</v>
      </c>
      <c r="F12" s="450">
        <v>1</v>
      </c>
      <c r="G12" s="38">
        <v>1.5</v>
      </c>
      <c r="H12" s="8"/>
      <c r="I12" s="27"/>
      <c r="J12" s="14"/>
      <c r="K12" s="14"/>
    </row>
    <row r="13" spans="1:11">
      <c r="A13" s="452" t="s">
        <v>61</v>
      </c>
      <c r="B13" s="538" t="s">
        <v>62</v>
      </c>
      <c r="C13" s="43" t="s">
        <v>61</v>
      </c>
      <c r="D13" s="77" t="s">
        <v>62</v>
      </c>
      <c r="E13" s="38">
        <v>41.5</v>
      </c>
      <c r="F13" s="39">
        <v>0</v>
      </c>
      <c r="G13" s="38">
        <v>6.75</v>
      </c>
      <c r="H13" s="8"/>
      <c r="I13" s="27"/>
      <c r="J13" s="14"/>
      <c r="K13" s="14"/>
    </row>
    <row r="14" spans="1:11">
      <c r="A14" s="27"/>
      <c r="B14" s="26"/>
      <c r="C14" s="26"/>
      <c r="D14" s="26"/>
      <c r="E14" s="26"/>
      <c r="I14" s="27"/>
      <c r="J14" s="14"/>
      <c r="K14" s="14"/>
    </row>
    <row r="15" spans="1:11">
      <c r="A15" s="27"/>
      <c r="B15" s="26"/>
      <c r="C15" s="26"/>
      <c r="D15" s="26"/>
      <c r="E15" s="26"/>
      <c r="I15" s="27"/>
      <c r="J15" s="14"/>
      <c r="K15" s="14"/>
    </row>
    <row r="16" spans="1:11">
      <c r="A16" s="27"/>
      <c r="B16" s="26"/>
      <c r="C16" s="26"/>
      <c r="D16" s="26"/>
      <c r="E16" s="26"/>
      <c r="I16" s="27"/>
      <c r="J16" s="14"/>
    </row>
    <row r="17" spans="1:5">
      <c r="A17" s="27"/>
      <c r="B17" s="26"/>
      <c r="C17" s="26"/>
      <c r="D17" s="26"/>
      <c r="E17" s="26"/>
    </row>
    <row r="18" spans="1:5">
      <c r="A18" s="27"/>
      <c r="B18" s="26"/>
      <c r="C18" s="26"/>
      <c r="D18" s="26"/>
      <c r="E18" s="26"/>
    </row>
  </sheetData>
  <mergeCells count="1">
    <mergeCell ref="B1:G1"/>
  </mergeCells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>
  <dimension ref="A1:G31"/>
  <sheetViews>
    <sheetView zoomScale="75" zoomScaleNormal="75" zoomScalePageLayoutView="75" workbookViewId="0">
      <selection activeCell="C2" sqref="C2"/>
    </sheetView>
  </sheetViews>
  <sheetFormatPr defaultColWidth="12.5703125" defaultRowHeight="15.75"/>
  <cols>
    <col min="1" max="1" width="94.28515625" style="236" bestFit="1" customWidth="1"/>
    <col min="2" max="2" width="24" style="236" bestFit="1" customWidth="1"/>
    <col min="3" max="3" width="28.5703125" style="236" bestFit="1" customWidth="1"/>
    <col min="4" max="4" width="26.28515625" style="236" customWidth="1"/>
    <col min="5" max="5" width="21.42578125" style="236" bestFit="1" customWidth="1"/>
    <col min="6" max="8" width="23.28515625" style="236" bestFit="1" customWidth="1"/>
    <col min="9" max="16384" width="12.5703125" style="236"/>
  </cols>
  <sheetData>
    <row r="1" spans="1:7">
      <c r="F1" s="369"/>
    </row>
    <row r="2" spans="1:7">
      <c r="F2" s="369"/>
    </row>
    <row r="3" spans="1:7" ht="21">
      <c r="A3" s="300"/>
      <c r="C3" s="552"/>
      <c r="D3" s="552"/>
      <c r="E3" s="552"/>
      <c r="F3" s="552"/>
      <c r="G3" s="552"/>
    </row>
    <row r="4" spans="1:7">
      <c r="D4" s="370"/>
      <c r="F4" s="369"/>
    </row>
    <row r="5" spans="1:7" ht="31.5">
      <c r="A5" s="417" t="s">
        <v>97</v>
      </c>
      <c r="B5" s="545" t="s">
        <v>922</v>
      </c>
      <c r="C5" s="39"/>
      <c r="D5" s="77" t="s">
        <v>97</v>
      </c>
      <c r="E5" s="545" t="s">
        <v>923</v>
      </c>
      <c r="F5" s="39" t="s">
        <v>920</v>
      </c>
      <c r="G5" s="39" t="s">
        <v>917</v>
      </c>
    </row>
    <row r="6" spans="1:7">
      <c r="A6" s="416" t="s">
        <v>799</v>
      </c>
      <c r="B6" s="418">
        <v>94.5</v>
      </c>
      <c r="C6" s="39">
        <v>1</v>
      </c>
      <c r="D6" s="77" t="s">
        <v>796</v>
      </c>
      <c r="E6" s="39">
        <v>85</v>
      </c>
      <c r="F6" s="457">
        <v>1</v>
      </c>
      <c r="G6" s="38">
        <f>E6-B7</f>
        <v>-3.125</v>
      </c>
    </row>
    <row r="7" spans="1:7">
      <c r="A7" s="416" t="s">
        <v>796</v>
      </c>
      <c r="B7" s="418">
        <v>88.125</v>
      </c>
      <c r="C7" s="39">
        <v>2</v>
      </c>
      <c r="D7" s="77" t="s">
        <v>799</v>
      </c>
      <c r="E7" s="39">
        <v>81.5</v>
      </c>
      <c r="F7" s="458">
        <v>-1</v>
      </c>
      <c r="G7" s="38">
        <f>E7-B6</f>
        <v>-13</v>
      </c>
    </row>
    <row r="8" spans="1:7">
      <c r="A8" s="416" t="s">
        <v>794</v>
      </c>
      <c r="B8" s="418">
        <v>79.875</v>
      </c>
      <c r="C8" s="39">
        <v>3</v>
      </c>
      <c r="D8" s="77" t="s">
        <v>794</v>
      </c>
      <c r="E8" s="39">
        <v>77.125</v>
      </c>
      <c r="F8" s="39">
        <v>0</v>
      </c>
      <c r="G8" s="38">
        <f>E8-B8</f>
        <v>-2.75</v>
      </c>
    </row>
    <row r="9" spans="1:7">
      <c r="A9" s="416" t="s">
        <v>786</v>
      </c>
      <c r="B9" s="418">
        <v>76.625</v>
      </c>
      <c r="C9" s="39">
        <v>4</v>
      </c>
      <c r="D9" s="77" t="s">
        <v>788</v>
      </c>
      <c r="E9" s="39">
        <v>73.25</v>
      </c>
      <c r="F9" s="457">
        <v>4</v>
      </c>
      <c r="G9" s="38">
        <f>E9-B13</f>
        <v>16.125</v>
      </c>
    </row>
    <row r="10" spans="1:7">
      <c r="A10" s="416" t="s">
        <v>790</v>
      </c>
      <c r="B10" s="418">
        <v>62.75</v>
      </c>
      <c r="C10" s="39">
        <v>5</v>
      </c>
      <c r="D10" s="77" t="s">
        <v>790</v>
      </c>
      <c r="E10" s="39">
        <v>70.25</v>
      </c>
      <c r="F10" s="39">
        <v>0</v>
      </c>
      <c r="G10" s="38">
        <f>E10-B10</f>
        <v>7.5</v>
      </c>
    </row>
    <row r="11" spans="1:7">
      <c r="A11" s="416" t="s">
        <v>787</v>
      </c>
      <c r="B11" s="418">
        <v>60.875</v>
      </c>
      <c r="C11" s="39">
        <v>6</v>
      </c>
      <c r="D11" s="77" t="s">
        <v>786</v>
      </c>
      <c r="E11" s="39">
        <v>67.625</v>
      </c>
      <c r="F11" s="458">
        <v>-2</v>
      </c>
      <c r="G11" s="38">
        <f>E11-B9</f>
        <v>-9</v>
      </c>
    </row>
    <row r="12" spans="1:7">
      <c r="A12" s="416" t="s">
        <v>791</v>
      </c>
      <c r="B12" s="418">
        <v>58.875</v>
      </c>
      <c r="C12" s="39">
        <v>7</v>
      </c>
      <c r="D12" s="77" t="s">
        <v>793</v>
      </c>
      <c r="E12" s="39">
        <v>64</v>
      </c>
      <c r="F12" s="457">
        <v>2</v>
      </c>
      <c r="G12" s="38">
        <f>E12-B14</f>
        <v>9.375</v>
      </c>
    </row>
    <row r="13" spans="1:7">
      <c r="A13" s="416" t="s">
        <v>788</v>
      </c>
      <c r="B13" s="418">
        <v>57.125</v>
      </c>
      <c r="C13" s="39">
        <v>8</v>
      </c>
      <c r="D13" s="77" t="s">
        <v>787</v>
      </c>
      <c r="E13" s="39">
        <v>59.625</v>
      </c>
      <c r="F13" s="458">
        <v>-2</v>
      </c>
      <c r="G13" s="38">
        <f>E13-B11</f>
        <v>-1.25</v>
      </c>
    </row>
    <row r="14" spans="1:7">
      <c r="A14" s="416" t="s">
        <v>793</v>
      </c>
      <c r="B14" s="418">
        <v>54.625</v>
      </c>
      <c r="C14" s="39">
        <v>9</v>
      </c>
      <c r="D14" s="77" t="s">
        <v>792</v>
      </c>
      <c r="E14" s="39">
        <v>57.25</v>
      </c>
      <c r="F14" s="457">
        <v>3</v>
      </c>
      <c r="G14" s="38">
        <f>E14-B17</f>
        <v>25.375</v>
      </c>
    </row>
    <row r="15" spans="1:7">
      <c r="A15" s="416" t="s">
        <v>789</v>
      </c>
      <c r="B15" s="418">
        <v>48.25</v>
      </c>
      <c r="C15" s="39">
        <v>10</v>
      </c>
      <c r="D15" s="77" t="s">
        <v>791</v>
      </c>
      <c r="E15" s="39">
        <v>52.5</v>
      </c>
      <c r="F15" s="458">
        <v>-3</v>
      </c>
      <c r="G15" s="38">
        <f>E15-B12</f>
        <v>-6.375</v>
      </c>
    </row>
    <row r="16" spans="1:7">
      <c r="A16" s="416" t="s">
        <v>785</v>
      </c>
      <c r="B16" s="418">
        <v>36.25</v>
      </c>
      <c r="C16" s="39">
        <v>11</v>
      </c>
      <c r="D16" s="77" t="s">
        <v>789</v>
      </c>
      <c r="E16" s="39">
        <v>52.5</v>
      </c>
      <c r="F16" s="458">
        <v>-1</v>
      </c>
      <c r="G16" s="38">
        <f>E16-B15</f>
        <v>4.25</v>
      </c>
    </row>
    <row r="17" spans="1:7">
      <c r="A17" s="416" t="s">
        <v>792</v>
      </c>
      <c r="B17" s="418">
        <v>31.875</v>
      </c>
      <c r="C17" s="39">
        <v>12</v>
      </c>
      <c r="D17" s="77" t="s">
        <v>785</v>
      </c>
      <c r="E17" s="39">
        <v>36.25</v>
      </c>
      <c r="F17" s="458">
        <v>-1</v>
      </c>
      <c r="G17" s="38">
        <f>E17-B16</f>
        <v>0</v>
      </c>
    </row>
    <row r="18" spans="1:7">
      <c r="E18" s="370"/>
      <c r="F18" s="369"/>
    </row>
    <row r="19" spans="1:7">
      <c r="B19"/>
      <c r="C19"/>
      <c r="F19" s="369"/>
    </row>
    <row r="20" spans="1:7">
      <c r="B20"/>
      <c r="C20"/>
      <c r="F20" s="369"/>
    </row>
    <row r="21" spans="1:7">
      <c r="B21"/>
      <c r="C21"/>
      <c r="F21" s="369"/>
    </row>
    <row r="22" spans="1:7">
      <c r="B22"/>
      <c r="C22"/>
      <c r="F22" s="369"/>
    </row>
    <row r="23" spans="1:7">
      <c r="B23"/>
      <c r="C23"/>
      <c r="F23" s="369"/>
    </row>
    <row r="24" spans="1:7">
      <c r="B24"/>
      <c r="C24"/>
      <c r="F24" s="369"/>
    </row>
    <row r="25" spans="1:7">
      <c r="B25"/>
      <c r="C25"/>
    </row>
    <row r="26" spans="1:7">
      <c r="B26"/>
      <c r="C26"/>
    </row>
    <row r="27" spans="1:7">
      <c r="B27"/>
      <c r="C27"/>
    </row>
    <row r="28" spans="1:7">
      <c r="B28"/>
      <c r="C28"/>
    </row>
    <row r="29" spans="1:7">
      <c r="B29"/>
      <c r="C29"/>
    </row>
    <row r="30" spans="1:7">
      <c r="B30"/>
      <c r="C30"/>
    </row>
    <row r="31" spans="1:7">
      <c r="B31"/>
      <c r="C31"/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>
  <dimension ref="A1:AP87"/>
  <sheetViews>
    <sheetView topLeftCell="A7" zoomScale="70" zoomScaleNormal="70" zoomScalePageLayoutView="70" workbookViewId="0">
      <selection activeCell="A81" sqref="A81"/>
    </sheetView>
  </sheetViews>
  <sheetFormatPr defaultColWidth="12.5703125" defaultRowHeight="15.75"/>
  <cols>
    <col min="1" max="1" width="40.7109375" style="236" bestFit="1" customWidth="1"/>
    <col min="2" max="9" width="12.5703125" style="236"/>
    <col min="10" max="10" width="16.140625" style="236" customWidth="1"/>
    <col min="11" max="11" width="12.5703125" style="236" customWidth="1"/>
    <col min="12" max="12" width="18.42578125" style="236" customWidth="1"/>
    <col min="13" max="13" width="12.5703125" style="236" customWidth="1"/>
    <col min="14" max="14" width="10.140625" style="236" customWidth="1"/>
    <col min="15" max="29" width="12.5703125" style="236" customWidth="1"/>
    <col min="30" max="30" width="12" style="236" bestFit="1" customWidth="1"/>
    <col min="31" max="38" width="12.5703125" style="236"/>
    <col min="39" max="39" width="47.28515625" style="236" bestFit="1" customWidth="1"/>
    <col min="40" max="40" width="12.5703125" style="236"/>
    <col min="41" max="41" width="30.7109375" style="236" bestFit="1" customWidth="1"/>
    <col min="42" max="16384" width="12.5703125" style="236"/>
  </cols>
  <sheetData>
    <row r="1" spans="1:42">
      <c r="A1" s="536" t="s">
        <v>886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/>
      <c r="AL1"/>
      <c r="AM1"/>
    </row>
    <row r="2" spans="1:42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/>
      <c r="AL2"/>
      <c r="AM2"/>
    </row>
    <row r="3" spans="1:42" ht="79.5" thickBot="1">
      <c r="A3" s="401" t="s">
        <v>97</v>
      </c>
      <c r="B3" s="401" t="s">
        <v>812</v>
      </c>
      <c r="C3" s="402" t="s">
        <v>93</v>
      </c>
      <c r="D3" s="402" t="s">
        <v>95</v>
      </c>
      <c r="E3" s="402" t="s">
        <v>93</v>
      </c>
      <c r="F3" s="401" t="s">
        <v>811</v>
      </c>
      <c r="G3" s="402" t="s">
        <v>83</v>
      </c>
      <c r="H3" s="402" t="s">
        <v>84</v>
      </c>
      <c r="I3" s="402" t="s">
        <v>93</v>
      </c>
      <c r="J3" s="401" t="s">
        <v>810</v>
      </c>
      <c r="K3" s="402" t="s">
        <v>83</v>
      </c>
      <c r="L3" s="403" t="s">
        <v>809</v>
      </c>
      <c r="M3" s="402" t="s">
        <v>83</v>
      </c>
      <c r="N3" s="402" t="s">
        <v>808</v>
      </c>
      <c r="O3" s="402" t="s">
        <v>83</v>
      </c>
      <c r="P3" s="402" t="s">
        <v>84</v>
      </c>
      <c r="Q3" s="402" t="s">
        <v>83</v>
      </c>
      <c r="R3" s="402" t="s">
        <v>807</v>
      </c>
      <c r="S3" s="402" t="s">
        <v>83</v>
      </c>
      <c r="T3" s="402" t="s">
        <v>84</v>
      </c>
      <c r="U3" s="402" t="s">
        <v>83</v>
      </c>
      <c r="V3" s="402" t="s">
        <v>88</v>
      </c>
      <c r="W3" s="402" t="s">
        <v>83</v>
      </c>
      <c r="X3" s="402" t="s">
        <v>84</v>
      </c>
      <c r="Y3" s="402" t="s">
        <v>83</v>
      </c>
      <c r="Z3" s="402" t="s">
        <v>805</v>
      </c>
      <c r="AA3" s="402" t="s">
        <v>83</v>
      </c>
      <c r="AB3" s="402" t="s">
        <v>84</v>
      </c>
      <c r="AC3" s="402" t="s">
        <v>83</v>
      </c>
      <c r="AD3" s="402" t="s">
        <v>804</v>
      </c>
      <c r="AE3" s="402" t="s">
        <v>83</v>
      </c>
      <c r="AF3" s="402" t="s">
        <v>84</v>
      </c>
      <c r="AG3" s="402" t="s">
        <v>83</v>
      </c>
      <c r="AH3" s="402" t="s">
        <v>803</v>
      </c>
      <c r="AI3" s="402" t="s">
        <v>83</v>
      </c>
      <c r="AJ3" s="402" t="s">
        <v>84</v>
      </c>
      <c r="AK3" s="309" t="s">
        <v>93</v>
      </c>
      <c r="AL3" s="309" t="s">
        <v>668</v>
      </c>
      <c r="AM3" s="309" t="s">
        <v>97</v>
      </c>
      <c r="AO3" s="387" t="s">
        <v>885</v>
      </c>
      <c r="AP3" s="387" t="s">
        <v>801</v>
      </c>
    </row>
    <row r="4" spans="1:42" ht="16.5" thickTop="1">
      <c r="A4" s="419" t="s">
        <v>884</v>
      </c>
      <c r="B4" s="421">
        <v>10</v>
      </c>
      <c r="C4" s="406">
        <f t="shared" ref="C4:C23" si="0">IF(B4&gt;6.2,$B$30,IF(AND(B4&lt;=6.2,B4&gt;1.1),$B$29,IF(AND(B4&lt;=1.1,B4&gt;-4.8),$B$28,$B$27)))</f>
        <v>13.5</v>
      </c>
      <c r="D4" s="406">
        <v>1</v>
      </c>
      <c r="E4" s="406" t="str">
        <f t="shared" ref="E4:E23" si="1">IF(D4=0,"0","1,5")</f>
        <v>1,5</v>
      </c>
      <c r="F4" s="406">
        <v>112.1</v>
      </c>
      <c r="G4" s="406">
        <f t="shared" ref="G4:G23" si="2">IF(F4&gt;34.3,$B$36,IF(AND(F4&lt;=34.3,F4&gt;6),$B$35,IF(AND(F4&lt;=6,F4&gt;0),$B$34,$B$33)))</f>
        <v>13.5</v>
      </c>
      <c r="H4" s="421">
        <v>1</v>
      </c>
      <c r="I4" s="406" t="str">
        <f t="shared" ref="I4:I23" si="3">IF(H4=1,"1,5","0")</f>
        <v>1,5</v>
      </c>
      <c r="J4" s="422">
        <v>2.4400000000000002E-2</v>
      </c>
      <c r="K4" s="423">
        <f t="shared" ref="K4:K23" si="4">IF(J4&gt;QUARTILE($J$4:$J$23,3),$B$43,IF(AND(J4&lt;=QUARTILE($J$4:$J$23,3),J4&gt;QUARTILE($J$4:$J$23,2)),$B$42,IF(AND(J4&lt;=QUARTILE($J$4:$J$23,2),J4&gt;QUARTILE($J$4:$J$23,1)),$B$41,$B$40)))</f>
        <v>5</v>
      </c>
      <c r="L4" s="422">
        <v>-0.63400000000000001</v>
      </c>
      <c r="M4" s="423">
        <f t="shared" ref="M4:M13" si="5">IF(L4&gt;QUARTILE($L$4:$L$23,3),$B$49,IF(AND(L4&lt;=QUARTILE($L$4:$L$23,3),L4&gt;QUARTILE($L$4:$L$23,2)),$B$48,IF(AND(L4&lt;=QUARTILE($L$4:$L$23,2),L4&gt;QUARTILE($L$4:$L$123,1)),$B$47,$B$46)))</f>
        <v>1.25</v>
      </c>
      <c r="N4" s="424">
        <v>-0.11409999999999999</v>
      </c>
      <c r="O4" s="406">
        <f t="shared" ref="O4:O23" si="6">IF(N4&gt;QUARTILE($N$4:$N$23,3),$B$55,IF(AND(N4&lt;=QUARTILE($N$4:$N$23,3),N4&gt;QUARTILE($N$4:$N$23,2)),$B$54,IF(AND(N4&lt;=QUARTILE($N$4:$N$23,2),N4&gt;QUARTILE($N$4:$N$23,1)),$B$53,$B$52)))</f>
        <v>4.5</v>
      </c>
      <c r="P4" s="421">
        <v>0</v>
      </c>
      <c r="Q4" s="406" t="str">
        <f t="shared" ref="Q4:Q23" si="7">IF(P4=0,"0","0,5")</f>
        <v>0</v>
      </c>
      <c r="R4" s="425">
        <v>1.5599999999999999E-2</v>
      </c>
      <c r="S4" s="423">
        <f t="shared" ref="S4:S23" si="8">IF(R4&gt;14.22%,$B$61,IF(AND(R4&lt;=14.22%,R4&gt;5.46%),$B$60,IF(AND(R4&lt;=5.46%,R4&gt;-3.38%),$B$59,$B$58)))</f>
        <v>4.5</v>
      </c>
      <c r="T4" s="426">
        <v>1</v>
      </c>
      <c r="U4" s="422" t="str">
        <f t="shared" ref="U4:U23" si="9">IF(T4=0,"0","1")</f>
        <v>1</v>
      </c>
      <c r="V4" s="422">
        <v>1.15E-2</v>
      </c>
      <c r="W4" s="423">
        <f t="shared" ref="W4:W23" si="10">IF(V4&gt;7.92%,$B$67,IF(AND(V4&lt;=7.92%,V4&gt;2.21%),$B$66,IF(AND(V4&lt;=2.12%,V4&gt;-8.43%),$B$65,$B$64)))</f>
        <v>6.75</v>
      </c>
      <c r="X4" s="426">
        <v>1</v>
      </c>
      <c r="Y4" s="422" t="str">
        <f t="shared" ref="Y4:Y23" si="11">IF(X4=0,"0","1,5")</f>
        <v>1,5</v>
      </c>
      <c r="Z4" s="422">
        <v>9.1000000000000004E-3</v>
      </c>
      <c r="AA4" s="423">
        <f t="shared" ref="AA4:AA23" si="12">IF(Z4&gt;4.91%,$B$73,IF(AND(Z4&lt;=4.91%,Z4&gt;0.77%),$B$72,IF(AND(Z4&lt;=0.77%,Z4&gt;-10.59%),$B$71,$B$70)))</f>
        <v>10.125</v>
      </c>
      <c r="AB4" s="426">
        <v>1</v>
      </c>
      <c r="AC4" s="422" t="str">
        <f t="shared" ref="AC4:AC23" si="13">IF(AB4=0,"0","1,5")</f>
        <v>1,5</v>
      </c>
      <c r="AD4" s="406">
        <v>1.01</v>
      </c>
      <c r="AE4" s="406">
        <f t="shared" ref="AE4:AE23" si="14">IF(AD4&gt;QUARTILE($AD$4:$AD$23,3),$B$79,IF(AND(AD4&lt;=QUARTILE($AD$4:$AD$23,3),AD4&gt;QUARTILE($AD$4:$AD$23,2)),$B$78,IF(AND(AD4&lt;=QUARTILE($AD$4:$AD$23,2),AD4&gt;QUARTILE($AD$4:$AD$23,1)),$B$77,$B$76)))</f>
        <v>2.25</v>
      </c>
      <c r="AF4" s="406">
        <v>1</v>
      </c>
      <c r="AG4" s="406" t="str">
        <f t="shared" ref="AG4:AG23" si="15">IF(AF4=1,"0,5","0")</f>
        <v>0,5</v>
      </c>
      <c r="AH4" s="422">
        <v>0.55589999999999995</v>
      </c>
      <c r="AI4" s="427">
        <f t="shared" ref="AI4:AI23" si="16">IF(AH4&gt;QUARTILE($AH$4:$AH$23,3),$B$85,IF(AND(AH4&lt;=QUARTILE($AH$4:$AH$23,3),AH4&gt;QUARTILE($AH$4:$AH$23,2)),$B$84,IF(AND(AH4&lt;=QUARTILE($AH$4:$AH$23,2),AH4&gt;QUARTILE($AH$4:$AH$23,1)),$B$83,$B$82)))</f>
        <v>9</v>
      </c>
      <c r="AJ4" s="406">
        <v>0</v>
      </c>
      <c r="AK4" s="406" t="str">
        <f t="shared" ref="AK4:AK23" si="17">IF(AJ4=1,"1","0")</f>
        <v>0</v>
      </c>
      <c r="AL4" s="436">
        <f t="shared" ref="AL4:AL23" si="18">C4+E4+G4+I4+K4+M4+O4+Q4+S4+U4+W4+Y4+AA4+AC4+AE4+AG4+AI4+AK4</f>
        <v>77.875</v>
      </c>
      <c r="AM4" s="437" t="s">
        <v>884</v>
      </c>
      <c r="AO4" s="386" t="s">
        <v>878</v>
      </c>
      <c r="AP4" s="350">
        <v>93.25</v>
      </c>
    </row>
    <row r="5" spans="1:42">
      <c r="A5" s="419" t="s">
        <v>883</v>
      </c>
      <c r="B5" s="428">
        <v>10</v>
      </c>
      <c r="C5" s="406">
        <f t="shared" si="0"/>
        <v>13.5</v>
      </c>
      <c r="D5" s="406">
        <v>1</v>
      </c>
      <c r="E5" s="406" t="str">
        <f t="shared" si="1"/>
        <v>1,5</v>
      </c>
      <c r="F5" s="406">
        <v>12.7</v>
      </c>
      <c r="G5" s="406">
        <f t="shared" si="2"/>
        <v>10.125</v>
      </c>
      <c r="H5" s="421">
        <v>1</v>
      </c>
      <c r="I5" s="406" t="str">
        <f t="shared" si="3"/>
        <v>1,5</v>
      </c>
      <c r="J5" s="429">
        <v>2.9999999999999997E-4</v>
      </c>
      <c r="K5" s="423">
        <f t="shared" si="4"/>
        <v>3.75</v>
      </c>
      <c r="L5" s="422">
        <v>-0.41699999999999998</v>
      </c>
      <c r="M5" s="423">
        <f t="shared" si="5"/>
        <v>1.25</v>
      </c>
      <c r="N5" s="424">
        <v>70.709999999999994</v>
      </c>
      <c r="O5" s="406">
        <f t="shared" si="6"/>
        <v>1.125</v>
      </c>
      <c r="P5" s="421">
        <v>0</v>
      </c>
      <c r="Q5" s="406" t="str">
        <f t="shared" si="7"/>
        <v>0</v>
      </c>
      <c r="R5" s="425">
        <v>3.9100000000000003E-2</v>
      </c>
      <c r="S5" s="423">
        <f t="shared" si="8"/>
        <v>4.5</v>
      </c>
      <c r="T5" s="426">
        <v>1</v>
      </c>
      <c r="U5" s="422" t="str">
        <f t="shared" si="9"/>
        <v>1</v>
      </c>
      <c r="V5" s="422">
        <v>3.4099999999999998E-2</v>
      </c>
      <c r="W5" s="423">
        <f t="shared" si="10"/>
        <v>10.125</v>
      </c>
      <c r="X5" s="426">
        <v>1</v>
      </c>
      <c r="Y5" s="422" t="str">
        <f t="shared" si="11"/>
        <v>1,5</v>
      </c>
      <c r="Z5" s="422">
        <v>2.7699999999999999E-2</v>
      </c>
      <c r="AA5" s="423">
        <f t="shared" si="12"/>
        <v>10.125</v>
      </c>
      <c r="AB5" s="426">
        <v>1</v>
      </c>
      <c r="AC5" s="422" t="str">
        <f t="shared" si="13"/>
        <v>1,5</v>
      </c>
      <c r="AD5" s="430">
        <v>1038</v>
      </c>
      <c r="AE5" s="406">
        <f t="shared" si="14"/>
        <v>4.5</v>
      </c>
      <c r="AF5" s="406">
        <v>0</v>
      </c>
      <c r="AG5" s="406" t="str">
        <f t="shared" si="15"/>
        <v>0</v>
      </c>
      <c r="AH5" s="422">
        <v>0.1159</v>
      </c>
      <c r="AI5" s="427">
        <f t="shared" si="16"/>
        <v>6.75</v>
      </c>
      <c r="AJ5" s="406">
        <v>1</v>
      </c>
      <c r="AK5" s="406" t="str">
        <f t="shared" si="17"/>
        <v>1</v>
      </c>
      <c r="AL5" s="436">
        <f t="shared" si="18"/>
        <v>73.75</v>
      </c>
      <c r="AM5" s="437" t="s">
        <v>883</v>
      </c>
      <c r="AO5" s="385" t="s">
        <v>884</v>
      </c>
      <c r="AP5" s="341">
        <v>80.75</v>
      </c>
    </row>
    <row r="6" spans="1:42">
      <c r="A6" s="419" t="s">
        <v>881</v>
      </c>
      <c r="B6" s="421">
        <v>2.6</v>
      </c>
      <c r="C6" s="406">
        <f t="shared" si="0"/>
        <v>10.125</v>
      </c>
      <c r="D6" s="406">
        <v>1</v>
      </c>
      <c r="E6" s="406" t="str">
        <f t="shared" si="1"/>
        <v>1,5</v>
      </c>
      <c r="F6" s="406">
        <v>8.4</v>
      </c>
      <c r="G6" s="406">
        <f t="shared" si="2"/>
        <v>10.125</v>
      </c>
      <c r="H6" s="421">
        <v>1</v>
      </c>
      <c r="I6" s="406" t="str">
        <f t="shared" si="3"/>
        <v>1,5</v>
      </c>
      <c r="J6" s="422">
        <v>-1.0500000000000001E-2</v>
      </c>
      <c r="K6" s="423">
        <f t="shared" si="4"/>
        <v>1.25</v>
      </c>
      <c r="L6" s="422">
        <v>1.3759999999999999</v>
      </c>
      <c r="M6" s="423">
        <f t="shared" si="5"/>
        <v>5</v>
      </c>
      <c r="N6" s="431">
        <v>22.56</v>
      </c>
      <c r="O6" s="406">
        <f t="shared" si="6"/>
        <v>3.375</v>
      </c>
      <c r="P6" s="421">
        <v>0</v>
      </c>
      <c r="Q6" s="406" t="str">
        <f t="shared" si="7"/>
        <v>0</v>
      </c>
      <c r="R6" s="425">
        <v>4.5699999999999998E-2</v>
      </c>
      <c r="S6" s="423">
        <f t="shared" si="8"/>
        <v>4.5</v>
      </c>
      <c r="T6" s="426">
        <v>1</v>
      </c>
      <c r="U6" s="422" t="str">
        <f t="shared" si="9"/>
        <v>1</v>
      </c>
      <c r="V6" s="422">
        <v>2.98E-2</v>
      </c>
      <c r="W6" s="423">
        <f t="shared" si="10"/>
        <v>10.125</v>
      </c>
      <c r="X6" s="426">
        <v>1</v>
      </c>
      <c r="Y6" s="422" t="str">
        <f t="shared" si="11"/>
        <v>1,5</v>
      </c>
      <c r="Z6" s="422">
        <v>3.8E-3</v>
      </c>
      <c r="AA6" s="423">
        <f t="shared" si="12"/>
        <v>6.75</v>
      </c>
      <c r="AB6" s="426">
        <v>1</v>
      </c>
      <c r="AC6" s="422" t="str">
        <f t="shared" si="13"/>
        <v>1,5</v>
      </c>
      <c r="AD6" s="430">
        <v>1013</v>
      </c>
      <c r="AE6" s="406">
        <f t="shared" si="14"/>
        <v>4.5</v>
      </c>
      <c r="AF6" s="406">
        <v>0</v>
      </c>
      <c r="AG6" s="406" t="str">
        <f t="shared" si="15"/>
        <v>0</v>
      </c>
      <c r="AH6" s="422">
        <v>0.23730000000000001</v>
      </c>
      <c r="AI6" s="427">
        <f t="shared" si="16"/>
        <v>9</v>
      </c>
      <c r="AJ6" s="406">
        <v>1</v>
      </c>
      <c r="AK6" s="406" t="str">
        <f t="shared" si="17"/>
        <v>1</v>
      </c>
      <c r="AL6" s="436">
        <f t="shared" si="18"/>
        <v>72.75</v>
      </c>
      <c r="AM6" s="437" t="s">
        <v>881</v>
      </c>
      <c r="AO6" s="384" t="s">
        <v>868</v>
      </c>
      <c r="AP6" s="341">
        <v>80.375</v>
      </c>
    </row>
    <row r="7" spans="1:42">
      <c r="A7" s="419" t="s">
        <v>873</v>
      </c>
      <c r="B7" s="421">
        <v>2.4</v>
      </c>
      <c r="C7" s="406">
        <f t="shared" si="0"/>
        <v>10.125</v>
      </c>
      <c r="D7" s="406">
        <v>0</v>
      </c>
      <c r="E7" s="406" t="str">
        <f t="shared" si="1"/>
        <v>0</v>
      </c>
      <c r="F7" s="406">
        <v>4</v>
      </c>
      <c r="G7" s="406">
        <f t="shared" si="2"/>
        <v>6.75</v>
      </c>
      <c r="H7" s="421">
        <v>0</v>
      </c>
      <c r="I7" s="406" t="str">
        <f t="shared" si="3"/>
        <v>0</v>
      </c>
      <c r="J7" s="422">
        <v>-2.8999999999999998E-3</v>
      </c>
      <c r="K7" s="423">
        <f t="shared" si="4"/>
        <v>2.5</v>
      </c>
      <c r="L7" s="422">
        <v>-0.34</v>
      </c>
      <c r="M7" s="423">
        <f t="shared" si="5"/>
        <v>2.5</v>
      </c>
      <c r="N7" s="424">
        <v>25.04</v>
      </c>
      <c r="O7" s="406">
        <f t="shared" si="6"/>
        <v>2.25</v>
      </c>
      <c r="P7" s="421">
        <v>0</v>
      </c>
      <c r="Q7" s="406" t="str">
        <f t="shared" si="7"/>
        <v>0</v>
      </c>
      <c r="R7" s="425">
        <v>9.2600000000000002E-2</v>
      </c>
      <c r="S7" s="423">
        <f t="shared" si="8"/>
        <v>6.75</v>
      </c>
      <c r="T7" s="426">
        <v>0</v>
      </c>
      <c r="U7" s="422" t="str">
        <f t="shared" si="9"/>
        <v>0</v>
      </c>
      <c r="V7" s="422">
        <v>1.1599999999999999E-2</v>
      </c>
      <c r="W7" s="423">
        <f t="shared" si="10"/>
        <v>6.75</v>
      </c>
      <c r="X7" s="426">
        <v>0</v>
      </c>
      <c r="Y7" s="422" t="str">
        <f t="shared" si="11"/>
        <v>0</v>
      </c>
      <c r="Z7" s="422">
        <v>9.7999999999999997E-3</v>
      </c>
      <c r="AA7" s="423">
        <f t="shared" si="12"/>
        <v>10.125</v>
      </c>
      <c r="AB7" s="432">
        <v>0</v>
      </c>
      <c r="AC7" s="422" t="str">
        <f t="shared" si="13"/>
        <v>0</v>
      </c>
      <c r="AD7" s="406">
        <v>1.01</v>
      </c>
      <c r="AE7" s="406">
        <f t="shared" si="14"/>
        <v>2.25</v>
      </c>
      <c r="AF7" s="406">
        <v>0</v>
      </c>
      <c r="AG7" s="406" t="str">
        <f t="shared" si="15"/>
        <v>0</v>
      </c>
      <c r="AH7" s="422">
        <v>4.7E-2</v>
      </c>
      <c r="AI7" s="427">
        <f t="shared" si="16"/>
        <v>2.25</v>
      </c>
      <c r="AJ7" s="406">
        <v>0</v>
      </c>
      <c r="AK7" s="406" t="str">
        <f t="shared" si="17"/>
        <v>0</v>
      </c>
      <c r="AL7" s="436">
        <f t="shared" si="18"/>
        <v>52.25</v>
      </c>
      <c r="AM7" s="437" t="s">
        <v>873</v>
      </c>
      <c r="AO7" s="385" t="s">
        <v>883</v>
      </c>
      <c r="AP7" s="341">
        <v>79.25</v>
      </c>
    </row>
    <row r="8" spans="1:42">
      <c r="A8" s="419" t="s">
        <v>882</v>
      </c>
      <c r="B8" s="428">
        <v>4.2</v>
      </c>
      <c r="C8" s="406">
        <f t="shared" si="0"/>
        <v>10.125</v>
      </c>
      <c r="D8" s="433">
        <v>1</v>
      </c>
      <c r="E8" s="406" t="str">
        <f t="shared" si="1"/>
        <v>1,5</v>
      </c>
      <c r="F8" s="433">
        <v>5.0999999999999996</v>
      </c>
      <c r="G8" s="406">
        <f t="shared" si="2"/>
        <v>6.75</v>
      </c>
      <c r="H8" s="428">
        <v>1</v>
      </c>
      <c r="I8" s="406" t="str">
        <f t="shared" si="3"/>
        <v>1,5</v>
      </c>
      <c r="J8" s="429">
        <v>1.6999999999999999E-3</v>
      </c>
      <c r="K8" s="423">
        <f t="shared" si="4"/>
        <v>5</v>
      </c>
      <c r="L8" s="434">
        <v>-0.24199999999999999</v>
      </c>
      <c r="M8" s="423">
        <f t="shared" si="5"/>
        <v>2.5</v>
      </c>
      <c r="N8" s="431">
        <v>27.2</v>
      </c>
      <c r="O8" s="406">
        <f t="shared" si="6"/>
        <v>2.25</v>
      </c>
      <c r="P8" s="428">
        <v>1</v>
      </c>
      <c r="Q8" s="406" t="str">
        <f t="shared" si="7"/>
        <v>0,5</v>
      </c>
      <c r="R8" s="435">
        <v>2.5399999999999999E-2</v>
      </c>
      <c r="S8" s="423">
        <f t="shared" si="8"/>
        <v>4.5</v>
      </c>
      <c r="T8" s="432">
        <v>1</v>
      </c>
      <c r="U8" s="422" t="str">
        <f t="shared" si="9"/>
        <v>1</v>
      </c>
      <c r="V8" s="434">
        <v>1.41E-2</v>
      </c>
      <c r="W8" s="423">
        <f t="shared" si="10"/>
        <v>6.75</v>
      </c>
      <c r="X8" s="432">
        <v>1</v>
      </c>
      <c r="Y8" s="422" t="str">
        <f t="shared" si="11"/>
        <v>1,5</v>
      </c>
      <c r="Z8" s="434">
        <v>7.7000000000000002E-3</v>
      </c>
      <c r="AA8" s="423">
        <f t="shared" si="12"/>
        <v>6.75</v>
      </c>
      <c r="AB8" s="432">
        <v>1</v>
      </c>
      <c r="AC8" s="422" t="str">
        <f t="shared" si="13"/>
        <v>1,5</v>
      </c>
      <c r="AD8" s="406">
        <v>1.01</v>
      </c>
      <c r="AE8" s="406">
        <f t="shared" si="14"/>
        <v>2.25</v>
      </c>
      <c r="AF8" s="406">
        <v>0</v>
      </c>
      <c r="AG8" s="406" t="str">
        <f t="shared" si="15"/>
        <v>0</v>
      </c>
      <c r="AH8" s="422">
        <v>9.0200000000000002E-2</v>
      </c>
      <c r="AI8" s="427">
        <f t="shared" si="16"/>
        <v>4.5</v>
      </c>
      <c r="AJ8" s="406">
        <v>1</v>
      </c>
      <c r="AK8" s="406" t="str">
        <f t="shared" si="17"/>
        <v>1</v>
      </c>
      <c r="AL8" s="436">
        <f t="shared" si="18"/>
        <v>59.875</v>
      </c>
      <c r="AM8" s="437" t="s">
        <v>882</v>
      </c>
      <c r="AO8" s="385" t="s">
        <v>882</v>
      </c>
      <c r="AP8" s="341">
        <v>77.75</v>
      </c>
    </row>
    <row r="9" spans="1:42">
      <c r="A9" s="419" t="s">
        <v>877</v>
      </c>
      <c r="B9" s="428">
        <v>4.9000000000000004</v>
      </c>
      <c r="C9" s="406">
        <f t="shared" si="0"/>
        <v>10.125</v>
      </c>
      <c r="D9" s="406">
        <v>1</v>
      </c>
      <c r="E9" s="406" t="str">
        <f t="shared" si="1"/>
        <v>1,5</v>
      </c>
      <c r="F9" s="406">
        <v>46</v>
      </c>
      <c r="G9" s="406">
        <f t="shared" si="2"/>
        <v>13.5</v>
      </c>
      <c r="H9" s="421">
        <v>0</v>
      </c>
      <c r="I9" s="406" t="str">
        <f t="shared" si="3"/>
        <v>0</v>
      </c>
      <c r="J9" s="422">
        <v>-1.52E-2</v>
      </c>
      <c r="K9" s="423">
        <f t="shared" si="4"/>
        <v>1.25</v>
      </c>
      <c r="L9" s="422">
        <v>-5.2999999999999999E-2</v>
      </c>
      <c r="M9" s="423">
        <f t="shared" si="5"/>
        <v>3.75</v>
      </c>
      <c r="N9" s="424">
        <v>35.44</v>
      </c>
      <c r="O9" s="406">
        <f t="shared" si="6"/>
        <v>2.25</v>
      </c>
      <c r="P9" s="421">
        <v>0</v>
      </c>
      <c r="Q9" s="406" t="str">
        <f t="shared" si="7"/>
        <v>0</v>
      </c>
      <c r="R9" s="425">
        <v>7.0999999999999994E-2</v>
      </c>
      <c r="S9" s="423">
        <f t="shared" si="8"/>
        <v>6.75</v>
      </c>
      <c r="T9" s="426">
        <v>0</v>
      </c>
      <c r="U9" s="422" t="str">
        <f t="shared" si="9"/>
        <v>0</v>
      </c>
      <c r="V9" s="422">
        <v>4.5199999999999997E-2</v>
      </c>
      <c r="W9" s="423">
        <f t="shared" si="10"/>
        <v>10.125</v>
      </c>
      <c r="X9" s="426">
        <v>0</v>
      </c>
      <c r="Y9" s="422" t="str">
        <f t="shared" si="11"/>
        <v>0</v>
      </c>
      <c r="Z9" s="422">
        <v>3.04E-2</v>
      </c>
      <c r="AA9" s="423">
        <f t="shared" si="12"/>
        <v>10.125</v>
      </c>
      <c r="AB9" s="426">
        <v>1</v>
      </c>
      <c r="AC9" s="422" t="str">
        <f t="shared" si="13"/>
        <v>1,5</v>
      </c>
      <c r="AD9" s="406">
        <v>1.03</v>
      </c>
      <c r="AE9" s="406">
        <f t="shared" si="14"/>
        <v>3.375</v>
      </c>
      <c r="AF9" s="406">
        <v>0</v>
      </c>
      <c r="AG9" s="406" t="str">
        <f t="shared" si="15"/>
        <v>0</v>
      </c>
      <c r="AH9" s="422">
        <v>0.12180000000000001</v>
      </c>
      <c r="AI9" s="427">
        <f t="shared" si="16"/>
        <v>6.75</v>
      </c>
      <c r="AJ9" s="406">
        <v>1</v>
      </c>
      <c r="AK9" s="406" t="str">
        <f t="shared" si="17"/>
        <v>1</v>
      </c>
      <c r="AL9" s="436">
        <f t="shared" si="18"/>
        <v>72</v>
      </c>
      <c r="AM9" s="437" t="s">
        <v>877</v>
      </c>
      <c r="AO9" s="385" t="s">
        <v>881</v>
      </c>
      <c r="AP9" s="341">
        <v>77.5</v>
      </c>
    </row>
    <row r="10" spans="1:42">
      <c r="A10" s="420" t="s">
        <v>874</v>
      </c>
      <c r="B10" s="421">
        <v>3.5</v>
      </c>
      <c r="C10" s="406">
        <f t="shared" si="0"/>
        <v>10.125</v>
      </c>
      <c r="D10" s="406">
        <v>0</v>
      </c>
      <c r="E10" s="406" t="str">
        <f t="shared" si="1"/>
        <v>0</v>
      </c>
      <c r="F10" s="406">
        <v>3.6</v>
      </c>
      <c r="G10" s="406">
        <f t="shared" si="2"/>
        <v>6.75</v>
      </c>
      <c r="H10" s="421">
        <v>0</v>
      </c>
      <c r="I10" s="406" t="str">
        <f t="shared" si="3"/>
        <v>0</v>
      </c>
      <c r="J10" s="422">
        <v>-2.3E-3</v>
      </c>
      <c r="K10" s="423">
        <f t="shared" si="4"/>
        <v>3.75</v>
      </c>
      <c r="L10" s="422">
        <v>-0.47499999999999998</v>
      </c>
      <c r="M10" s="423">
        <f t="shared" si="5"/>
        <v>1.25</v>
      </c>
      <c r="N10" s="424">
        <v>113.58</v>
      </c>
      <c r="O10" s="406">
        <f t="shared" si="6"/>
        <v>1.125</v>
      </c>
      <c r="P10" s="421">
        <v>1</v>
      </c>
      <c r="Q10" s="406" t="str">
        <f t="shared" si="7"/>
        <v>0,5</v>
      </c>
      <c r="R10" s="425">
        <v>0.1303</v>
      </c>
      <c r="S10" s="423">
        <f t="shared" si="8"/>
        <v>6.75</v>
      </c>
      <c r="T10" s="426">
        <v>0</v>
      </c>
      <c r="U10" s="422" t="str">
        <f t="shared" si="9"/>
        <v>0</v>
      </c>
      <c r="V10" s="422">
        <v>3.04E-2</v>
      </c>
      <c r="W10" s="423">
        <f t="shared" si="10"/>
        <v>10.125</v>
      </c>
      <c r="X10" s="426">
        <v>0</v>
      </c>
      <c r="Y10" s="422" t="str">
        <f t="shared" si="11"/>
        <v>0</v>
      </c>
      <c r="Z10" s="422">
        <v>2.5700000000000001E-2</v>
      </c>
      <c r="AA10" s="423">
        <f t="shared" si="12"/>
        <v>10.125</v>
      </c>
      <c r="AB10" s="426">
        <v>0</v>
      </c>
      <c r="AC10" s="422" t="str">
        <f t="shared" si="13"/>
        <v>0</v>
      </c>
      <c r="AD10" s="406">
        <v>1.03</v>
      </c>
      <c r="AE10" s="406">
        <f t="shared" si="14"/>
        <v>3.375</v>
      </c>
      <c r="AF10" s="406">
        <v>0</v>
      </c>
      <c r="AG10" s="406" t="str">
        <f t="shared" si="15"/>
        <v>0</v>
      </c>
      <c r="AH10" s="422">
        <v>6.4000000000000001E-2</v>
      </c>
      <c r="AI10" s="427">
        <f t="shared" si="16"/>
        <v>4.5</v>
      </c>
      <c r="AJ10" s="406">
        <v>1</v>
      </c>
      <c r="AK10" s="406" t="str">
        <f t="shared" si="17"/>
        <v>1</v>
      </c>
      <c r="AL10" s="436">
        <f t="shared" si="18"/>
        <v>59.375</v>
      </c>
      <c r="AM10" s="438" t="s">
        <v>874</v>
      </c>
      <c r="AO10" s="384" t="s">
        <v>870</v>
      </c>
      <c r="AP10" s="341">
        <v>75.1875</v>
      </c>
    </row>
    <row r="11" spans="1:42">
      <c r="A11" s="420" t="s">
        <v>880</v>
      </c>
      <c r="B11" s="421">
        <v>0.8</v>
      </c>
      <c r="C11" s="406">
        <f t="shared" si="0"/>
        <v>6.75</v>
      </c>
      <c r="D11" s="406">
        <v>1</v>
      </c>
      <c r="E11" s="406" t="str">
        <f t="shared" si="1"/>
        <v>1,5</v>
      </c>
      <c r="F11" s="406">
        <v>1.8</v>
      </c>
      <c r="G11" s="406">
        <f t="shared" si="2"/>
        <v>6.75</v>
      </c>
      <c r="H11" s="421">
        <v>1</v>
      </c>
      <c r="I11" s="406" t="str">
        <f t="shared" si="3"/>
        <v>1,5</v>
      </c>
      <c r="J11" s="422">
        <v>5.9999999999999995E-4</v>
      </c>
      <c r="K11" s="423">
        <f t="shared" si="4"/>
        <v>3.75</v>
      </c>
      <c r="L11" s="422">
        <v>3.4830000000000001</v>
      </c>
      <c r="M11" s="423">
        <f t="shared" si="5"/>
        <v>5</v>
      </c>
      <c r="N11" s="431">
        <v>-9.6799999999999997E-2</v>
      </c>
      <c r="O11" s="406">
        <f t="shared" si="6"/>
        <v>3.375</v>
      </c>
      <c r="P11" s="421">
        <v>0</v>
      </c>
      <c r="Q11" s="406" t="str">
        <f t="shared" si="7"/>
        <v>0</v>
      </c>
      <c r="R11" s="425">
        <v>3.0000000000000001E-3</v>
      </c>
      <c r="S11" s="423">
        <f t="shared" si="8"/>
        <v>4.5</v>
      </c>
      <c r="T11" s="426">
        <v>1</v>
      </c>
      <c r="U11" s="422" t="str">
        <f t="shared" si="9"/>
        <v>1</v>
      </c>
      <c r="V11" s="434">
        <v>-5.9999999999999995E-4</v>
      </c>
      <c r="W11" s="423">
        <f t="shared" si="10"/>
        <v>6.75</v>
      </c>
      <c r="X11" s="426">
        <v>1</v>
      </c>
      <c r="Y11" s="422" t="str">
        <f t="shared" si="11"/>
        <v>1,5</v>
      </c>
      <c r="Z11" s="422">
        <v>1E-4</v>
      </c>
      <c r="AA11" s="423">
        <f t="shared" si="12"/>
        <v>6.75</v>
      </c>
      <c r="AB11" s="426">
        <v>0</v>
      </c>
      <c r="AC11" s="422" t="str">
        <f t="shared" si="13"/>
        <v>0</v>
      </c>
      <c r="AD11" s="406">
        <v>1</v>
      </c>
      <c r="AE11" s="406">
        <f t="shared" si="14"/>
        <v>2.25</v>
      </c>
      <c r="AF11" s="406">
        <v>0</v>
      </c>
      <c r="AG11" s="406" t="str">
        <f t="shared" si="15"/>
        <v>0</v>
      </c>
      <c r="AH11" s="422">
        <v>0.1399</v>
      </c>
      <c r="AI11" s="427">
        <f t="shared" si="16"/>
        <v>6.75</v>
      </c>
      <c r="AJ11" s="406">
        <v>1</v>
      </c>
      <c r="AK11" s="406" t="str">
        <f t="shared" si="17"/>
        <v>1</v>
      </c>
      <c r="AL11" s="436">
        <f t="shared" si="18"/>
        <v>59.125</v>
      </c>
      <c r="AM11" s="438" t="s">
        <v>880</v>
      </c>
      <c r="AO11" s="384" t="s">
        <v>875</v>
      </c>
      <c r="AP11" s="341">
        <v>74.875</v>
      </c>
    </row>
    <row r="12" spans="1:42">
      <c r="A12" s="420" t="s">
        <v>866</v>
      </c>
      <c r="B12" s="428">
        <v>-0.1</v>
      </c>
      <c r="C12" s="406">
        <f t="shared" si="0"/>
        <v>6.75</v>
      </c>
      <c r="D12" s="406">
        <v>0</v>
      </c>
      <c r="E12" s="406" t="str">
        <f t="shared" si="1"/>
        <v>0</v>
      </c>
      <c r="F12" s="433">
        <v>-4.4000000000000004</v>
      </c>
      <c r="G12" s="406">
        <f t="shared" si="2"/>
        <v>3.375</v>
      </c>
      <c r="H12" s="421">
        <v>0</v>
      </c>
      <c r="I12" s="406" t="str">
        <f t="shared" si="3"/>
        <v>0</v>
      </c>
      <c r="J12" s="422">
        <v>-4.7899999999999998E-2</v>
      </c>
      <c r="K12" s="423">
        <f t="shared" si="4"/>
        <v>1.25</v>
      </c>
      <c r="L12" s="422">
        <v>-0.92600000000000005</v>
      </c>
      <c r="M12" s="423">
        <f t="shared" si="5"/>
        <v>1.25</v>
      </c>
      <c r="N12" s="424">
        <v>44.21</v>
      </c>
      <c r="O12" s="406">
        <f t="shared" si="6"/>
        <v>1.125</v>
      </c>
      <c r="P12" s="421">
        <v>1</v>
      </c>
      <c r="Q12" s="406" t="str">
        <f t="shared" si="7"/>
        <v>0,5</v>
      </c>
      <c r="R12" s="425">
        <v>1.12E-2</v>
      </c>
      <c r="S12" s="423">
        <f t="shared" si="8"/>
        <v>4.5</v>
      </c>
      <c r="T12" s="426">
        <v>0</v>
      </c>
      <c r="U12" s="422" t="str">
        <f t="shared" si="9"/>
        <v>0</v>
      </c>
      <c r="V12" s="434">
        <v>-5.8999999999999999E-3</v>
      </c>
      <c r="W12" s="423">
        <f t="shared" si="10"/>
        <v>6.75</v>
      </c>
      <c r="X12" s="426">
        <v>1</v>
      </c>
      <c r="Y12" s="422" t="str">
        <f t="shared" si="11"/>
        <v>1,5</v>
      </c>
      <c r="Z12" s="434">
        <v>-6.1999999999999998E-3</v>
      </c>
      <c r="AA12" s="423">
        <f t="shared" si="12"/>
        <v>6.75</v>
      </c>
      <c r="AB12" s="426">
        <v>0</v>
      </c>
      <c r="AC12" s="422" t="str">
        <f t="shared" si="13"/>
        <v>0</v>
      </c>
      <c r="AD12" s="406">
        <v>0.99</v>
      </c>
      <c r="AE12" s="406">
        <f t="shared" si="14"/>
        <v>2.25</v>
      </c>
      <c r="AF12" s="406">
        <v>0</v>
      </c>
      <c r="AG12" s="406" t="str">
        <f t="shared" si="15"/>
        <v>0</v>
      </c>
      <c r="AH12" s="422">
        <v>9.3100000000000002E-2</v>
      </c>
      <c r="AI12" s="427">
        <f t="shared" si="16"/>
        <v>4.5</v>
      </c>
      <c r="AJ12" s="406">
        <v>1</v>
      </c>
      <c r="AK12" s="406" t="str">
        <f t="shared" si="17"/>
        <v>1</v>
      </c>
      <c r="AL12" s="436">
        <f t="shared" si="18"/>
        <v>41.5</v>
      </c>
      <c r="AM12" s="438" t="s">
        <v>866</v>
      </c>
      <c r="AO12" s="384" t="s">
        <v>880</v>
      </c>
      <c r="AP12" s="341">
        <v>74.0625</v>
      </c>
    </row>
    <row r="13" spans="1:42">
      <c r="A13" s="420" t="s">
        <v>878</v>
      </c>
      <c r="B13" s="421" t="s">
        <v>879</v>
      </c>
      <c r="C13" s="406">
        <f t="shared" si="0"/>
        <v>13.5</v>
      </c>
      <c r="D13" s="406">
        <v>1</v>
      </c>
      <c r="E13" s="406" t="str">
        <f t="shared" si="1"/>
        <v>1,5</v>
      </c>
      <c r="F13" s="406">
        <v>59.3</v>
      </c>
      <c r="G13" s="406">
        <f t="shared" si="2"/>
        <v>13.5</v>
      </c>
      <c r="H13" s="421">
        <v>1</v>
      </c>
      <c r="I13" s="406" t="str">
        <f t="shared" si="3"/>
        <v>1,5</v>
      </c>
      <c r="J13" s="422">
        <v>-8.0999999999999996E-3</v>
      </c>
      <c r="K13" s="423">
        <f t="shared" si="4"/>
        <v>2.5</v>
      </c>
      <c r="L13" s="422">
        <v>-0.66400000000000003</v>
      </c>
      <c r="M13" s="423">
        <f t="shared" si="5"/>
        <v>1.25</v>
      </c>
      <c r="N13" s="431">
        <v>-0.92</v>
      </c>
      <c r="O13" s="406">
        <f t="shared" si="6"/>
        <v>4.5</v>
      </c>
      <c r="P13" s="421">
        <v>0</v>
      </c>
      <c r="Q13" s="406" t="str">
        <f t="shared" si="7"/>
        <v>0</v>
      </c>
      <c r="R13" s="425">
        <v>0.86439999999999995</v>
      </c>
      <c r="S13" s="423">
        <f t="shared" si="8"/>
        <v>9</v>
      </c>
      <c r="T13" s="426">
        <v>1</v>
      </c>
      <c r="U13" s="422" t="str">
        <f t="shared" si="9"/>
        <v>1</v>
      </c>
      <c r="V13" s="422">
        <v>0.55279999999999996</v>
      </c>
      <c r="W13" s="423">
        <f t="shared" si="10"/>
        <v>13.5</v>
      </c>
      <c r="X13" s="426">
        <v>1</v>
      </c>
      <c r="Y13" s="422" t="str">
        <f t="shared" si="11"/>
        <v>1,5</v>
      </c>
      <c r="Z13" s="422">
        <v>0.40970000000000001</v>
      </c>
      <c r="AA13" s="423">
        <f t="shared" si="12"/>
        <v>13.5</v>
      </c>
      <c r="AB13" s="426">
        <v>1</v>
      </c>
      <c r="AC13" s="422" t="str">
        <f t="shared" si="13"/>
        <v>1,5</v>
      </c>
      <c r="AD13" s="406">
        <v>2.0499999999999998</v>
      </c>
      <c r="AE13" s="406">
        <f t="shared" si="14"/>
        <v>4.5</v>
      </c>
      <c r="AF13" s="406">
        <v>1</v>
      </c>
      <c r="AG13" s="406" t="str">
        <f t="shared" si="15"/>
        <v>0,5</v>
      </c>
      <c r="AH13" s="422">
        <v>0.64470000000000005</v>
      </c>
      <c r="AI13" s="427">
        <f t="shared" si="16"/>
        <v>9</v>
      </c>
      <c r="AJ13" s="406">
        <v>1</v>
      </c>
      <c r="AK13" s="406" t="str">
        <f t="shared" si="17"/>
        <v>1</v>
      </c>
      <c r="AL13" s="436">
        <f t="shared" si="18"/>
        <v>93.25</v>
      </c>
      <c r="AM13" s="438" t="s">
        <v>878</v>
      </c>
      <c r="AO13" s="385" t="s">
        <v>877</v>
      </c>
      <c r="AP13" s="341">
        <v>73.5625</v>
      </c>
    </row>
    <row r="14" spans="1:42">
      <c r="A14" s="420" t="s">
        <v>876</v>
      </c>
      <c r="B14" s="421">
        <v>2.7</v>
      </c>
      <c r="C14" s="406">
        <f t="shared" si="0"/>
        <v>10.125</v>
      </c>
      <c r="D14" s="406">
        <v>1</v>
      </c>
      <c r="E14" s="406" t="str">
        <f t="shared" si="1"/>
        <v>1,5</v>
      </c>
      <c r="F14" s="406">
        <v>5.0999999999999996</v>
      </c>
      <c r="G14" s="406">
        <f t="shared" si="2"/>
        <v>6.75</v>
      </c>
      <c r="H14" s="421">
        <v>1</v>
      </c>
      <c r="I14" s="406" t="str">
        <f t="shared" si="3"/>
        <v>1,5</v>
      </c>
      <c r="J14" s="422">
        <v>2.7000000000000001E-3</v>
      </c>
      <c r="K14" s="423">
        <f t="shared" si="4"/>
        <v>5</v>
      </c>
      <c r="L14" s="422">
        <v>-0.41599999999999998</v>
      </c>
      <c r="M14" s="424">
        <v>2.5</v>
      </c>
      <c r="N14" s="424">
        <v>40.590000000000003</v>
      </c>
      <c r="O14" s="406">
        <f t="shared" si="6"/>
        <v>2.25</v>
      </c>
      <c r="P14" s="421">
        <v>0</v>
      </c>
      <c r="Q14" s="406" t="str">
        <f t="shared" si="7"/>
        <v>0</v>
      </c>
      <c r="R14" s="425">
        <v>9.5500000000000002E-2</v>
      </c>
      <c r="S14" s="423">
        <f t="shared" si="8"/>
        <v>6.75</v>
      </c>
      <c r="T14" s="426">
        <v>1</v>
      </c>
      <c r="U14" s="422" t="str">
        <f t="shared" si="9"/>
        <v>1</v>
      </c>
      <c r="V14" s="422">
        <v>5.0000000000000001E-3</v>
      </c>
      <c r="W14" s="423">
        <f t="shared" si="10"/>
        <v>6.75</v>
      </c>
      <c r="X14" s="426">
        <v>1</v>
      </c>
      <c r="Y14" s="422" t="str">
        <f t="shared" si="11"/>
        <v>1,5</v>
      </c>
      <c r="Z14" s="422">
        <v>2.8299999999999999E-2</v>
      </c>
      <c r="AA14" s="423">
        <f t="shared" si="12"/>
        <v>10.125</v>
      </c>
      <c r="AB14" s="426">
        <v>1</v>
      </c>
      <c r="AC14" s="422" t="str">
        <f t="shared" si="13"/>
        <v>1,5</v>
      </c>
      <c r="AD14" s="406">
        <v>0.93</v>
      </c>
      <c r="AE14" s="406">
        <f t="shared" si="14"/>
        <v>1.125</v>
      </c>
      <c r="AF14" s="406">
        <v>0</v>
      </c>
      <c r="AG14" s="406" t="str">
        <f t="shared" si="15"/>
        <v>0</v>
      </c>
      <c r="AH14" s="422">
        <v>7.0800000000000002E-2</v>
      </c>
      <c r="AI14" s="427">
        <f t="shared" si="16"/>
        <v>4.5</v>
      </c>
      <c r="AJ14" s="406">
        <v>0</v>
      </c>
      <c r="AK14" s="406" t="str">
        <f t="shared" si="17"/>
        <v>0</v>
      </c>
      <c r="AL14" s="436">
        <f t="shared" si="18"/>
        <v>62.875</v>
      </c>
      <c r="AM14" s="438" t="s">
        <v>876</v>
      </c>
      <c r="AO14" s="384" t="s">
        <v>876</v>
      </c>
      <c r="AP14" s="341">
        <v>71.6875</v>
      </c>
    </row>
    <row r="15" spans="1:42">
      <c r="A15" s="420" t="s">
        <v>875</v>
      </c>
      <c r="B15" s="421">
        <v>2.4</v>
      </c>
      <c r="C15" s="406">
        <f t="shared" si="0"/>
        <v>10.125</v>
      </c>
      <c r="D15" s="406">
        <v>1</v>
      </c>
      <c r="E15" s="406" t="str">
        <f t="shared" si="1"/>
        <v>1,5</v>
      </c>
      <c r="F15" s="406">
        <v>2.8</v>
      </c>
      <c r="G15" s="406">
        <f t="shared" si="2"/>
        <v>6.75</v>
      </c>
      <c r="H15" s="421">
        <v>1</v>
      </c>
      <c r="I15" s="406" t="str">
        <f t="shared" si="3"/>
        <v>1,5</v>
      </c>
      <c r="J15" s="422">
        <v>-5.9999999999999995E-4</v>
      </c>
      <c r="K15" s="423">
        <f t="shared" si="4"/>
        <v>3.75</v>
      </c>
      <c r="L15" s="422">
        <v>-0.879</v>
      </c>
      <c r="M15" s="423">
        <f t="shared" ref="M15:M23" si="19">IF(L15&gt;QUARTILE($L$4:$L$23,3),$B$49,IF(AND(L15&lt;=QUARTILE($L$4:$L$23,3),L15&gt;QUARTILE($L$4:$L$23,2)),$B$48,IF(AND(L15&lt;=QUARTILE($L$4:$L$23,2),L15&gt;QUARTILE($L$4:$L$123,1)),$B$47,$B$46)))</f>
        <v>1.25</v>
      </c>
      <c r="N15" s="424">
        <v>142.11000000000001</v>
      </c>
      <c r="O15" s="406">
        <f t="shared" si="6"/>
        <v>1.125</v>
      </c>
      <c r="P15" s="421">
        <v>0</v>
      </c>
      <c r="Q15" s="406" t="str">
        <f t="shared" si="7"/>
        <v>0</v>
      </c>
      <c r="R15" s="425">
        <v>7.1800000000000003E-2</v>
      </c>
      <c r="S15" s="423">
        <f t="shared" si="8"/>
        <v>6.75</v>
      </c>
      <c r="T15" s="426">
        <v>1</v>
      </c>
      <c r="U15" s="422" t="str">
        <f t="shared" si="9"/>
        <v>1</v>
      </c>
      <c r="V15" s="422">
        <v>3.6799999999999999E-2</v>
      </c>
      <c r="W15" s="423">
        <f t="shared" si="10"/>
        <v>10.125</v>
      </c>
      <c r="X15" s="426">
        <v>1</v>
      </c>
      <c r="Y15" s="422" t="str">
        <f t="shared" si="11"/>
        <v>1,5</v>
      </c>
      <c r="Z15" s="422">
        <v>2.6200000000000001E-2</v>
      </c>
      <c r="AA15" s="423">
        <f t="shared" si="12"/>
        <v>10.125</v>
      </c>
      <c r="AB15" s="426">
        <v>1</v>
      </c>
      <c r="AC15" s="422" t="str">
        <f t="shared" si="13"/>
        <v>1,5</v>
      </c>
      <c r="AD15" s="406">
        <v>1.04</v>
      </c>
      <c r="AE15" s="406">
        <f t="shared" si="14"/>
        <v>4.5</v>
      </c>
      <c r="AF15" s="406">
        <v>1</v>
      </c>
      <c r="AG15" s="406" t="str">
        <f t="shared" si="15"/>
        <v>0,5</v>
      </c>
      <c r="AH15" s="422">
        <v>3.4500000000000003E-2</v>
      </c>
      <c r="AI15" s="427">
        <f t="shared" si="16"/>
        <v>2.25</v>
      </c>
      <c r="AJ15" s="406">
        <v>0</v>
      </c>
      <c r="AK15" s="406" t="str">
        <f t="shared" si="17"/>
        <v>0</v>
      </c>
      <c r="AL15" s="436">
        <f t="shared" si="18"/>
        <v>64.25</v>
      </c>
      <c r="AM15" s="438" t="s">
        <v>875</v>
      </c>
      <c r="AO15" s="384" t="s">
        <v>867</v>
      </c>
      <c r="AP15" s="341">
        <v>67.6875</v>
      </c>
    </row>
    <row r="16" spans="1:42">
      <c r="A16" s="420" t="s">
        <v>869</v>
      </c>
      <c r="B16" s="428">
        <v>-33.799999999999997</v>
      </c>
      <c r="C16" s="406">
        <f t="shared" si="0"/>
        <v>3.375</v>
      </c>
      <c r="D16" s="406">
        <v>0</v>
      </c>
      <c r="E16" s="406" t="str">
        <f t="shared" si="1"/>
        <v>0</v>
      </c>
      <c r="F16" s="406">
        <v>40.6</v>
      </c>
      <c r="G16" s="406">
        <f t="shared" si="2"/>
        <v>13.5</v>
      </c>
      <c r="H16" s="421">
        <v>1</v>
      </c>
      <c r="I16" s="406" t="str">
        <f t="shared" si="3"/>
        <v>1,5</v>
      </c>
      <c r="J16" s="422">
        <v>1.8E-3</v>
      </c>
      <c r="K16" s="423">
        <f t="shared" si="4"/>
        <v>5</v>
      </c>
      <c r="L16" s="422">
        <v>0.19800000000000001</v>
      </c>
      <c r="M16" s="423">
        <f t="shared" si="19"/>
        <v>3.75</v>
      </c>
      <c r="N16" s="424">
        <v>37.090000000000003</v>
      </c>
      <c r="O16" s="406">
        <f t="shared" si="6"/>
        <v>2.25</v>
      </c>
      <c r="P16" s="421">
        <v>1</v>
      </c>
      <c r="Q16" s="406" t="str">
        <f t="shared" si="7"/>
        <v>0,5</v>
      </c>
      <c r="R16" s="435">
        <v>-8.2299999999999998E-2</v>
      </c>
      <c r="S16" s="423">
        <f t="shared" si="8"/>
        <v>2.25</v>
      </c>
      <c r="T16" s="426">
        <v>0</v>
      </c>
      <c r="U16" s="422" t="str">
        <f t="shared" si="9"/>
        <v>0</v>
      </c>
      <c r="V16" s="434">
        <v>-9.98E-2</v>
      </c>
      <c r="W16" s="423">
        <f t="shared" si="10"/>
        <v>3.375</v>
      </c>
      <c r="X16" s="426">
        <v>0</v>
      </c>
      <c r="Y16" s="422" t="str">
        <f t="shared" si="11"/>
        <v>0</v>
      </c>
      <c r="Z16" s="434">
        <v>-0.12720000000000001</v>
      </c>
      <c r="AA16" s="423">
        <f t="shared" si="12"/>
        <v>3.375</v>
      </c>
      <c r="AB16" s="426">
        <v>0</v>
      </c>
      <c r="AC16" s="422" t="str">
        <f t="shared" si="13"/>
        <v>0</v>
      </c>
      <c r="AD16" s="406">
        <v>0.89</v>
      </c>
      <c r="AE16" s="406">
        <f t="shared" si="14"/>
        <v>1.125</v>
      </c>
      <c r="AF16" s="406">
        <v>0</v>
      </c>
      <c r="AG16" s="406" t="str">
        <f t="shared" si="15"/>
        <v>0</v>
      </c>
      <c r="AH16" s="422">
        <v>2.8899999999999999E-2</v>
      </c>
      <c r="AI16" s="427">
        <f t="shared" si="16"/>
        <v>2.25</v>
      </c>
      <c r="AJ16" s="406">
        <v>0</v>
      </c>
      <c r="AK16" s="406" t="str">
        <f t="shared" si="17"/>
        <v>0</v>
      </c>
      <c r="AL16" s="436">
        <f t="shared" si="18"/>
        <v>42.25</v>
      </c>
      <c r="AM16" s="438" t="s">
        <v>869</v>
      </c>
      <c r="AO16" s="384" t="s">
        <v>874</v>
      </c>
      <c r="AP16" s="341">
        <v>63.6875</v>
      </c>
    </row>
    <row r="17" spans="1:42">
      <c r="A17" s="420" t="s">
        <v>871</v>
      </c>
      <c r="B17" s="421">
        <v>0.1</v>
      </c>
      <c r="C17" s="406">
        <f t="shared" si="0"/>
        <v>6.75</v>
      </c>
      <c r="D17" s="406">
        <v>0</v>
      </c>
      <c r="E17" s="406" t="str">
        <f t="shared" si="1"/>
        <v>0</v>
      </c>
      <c r="F17" s="406">
        <v>0</v>
      </c>
      <c r="G17" s="406">
        <f t="shared" si="2"/>
        <v>3.375</v>
      </c>
      <c r="H17" s="421">
        <v>0</v>
      </c>
      <c r="I17" s="406" t="str">
        <f t="shared" si="3"/>
        <v>0</v>
      </c>
      <c r="J17" s="422">
        <v>0</v>
      </c>
      <c r="K17" s="423">
        <f t="shared" si="4"/>
        <v>3.75</v>
      </c>
      <c r="L17" s="422">
        <v>0.71099999999999997</v>
      </c>
      <c r="M17" s="423">
        <f t="shared" si="19"/>
        <v>5</v>
      </c>
      <c r="N17" s="431">
        <v>-37.97</v>
      </c>
      <c r="O17" s="406">
        <f t="shared" si="6"/>
        <v>4.5</v>
      </c>
      <c r="P17" s="421">
        <v>0</v>
      </c>
      <c r="Q17" s="406" t="str">
        <f t="shared" si="7"/>
        <v>0</v>
      </c>
      <c r="R17" s="425">
        <v>1E-4</v>
      </c>
      <c r="S17" s="423">
        <f t="shared" si="8"/>
        <v>4.5</v>
      </c>
      <c r="T17" s="426">
        <v>0</v>
      </c>
      <c r="U17" s="422" t="str">
        <f t="shared" si="9"/>
        <v>0</v>
      </c>
      <c r="V17" s="422">
        <v>1.55E-2</v>
      </c>
      <c r="W17" s="423">
        <f t="shared" si="10"/>
        <v>6.75</v>
      </c>
      <c r="X17" s="426">
        <v>1</v>
      </c>
      <c r="Y17" s="422" t="str">
        <f t="shared" si="11"/>
        <v>1,5</v>
      </c>
      <c r="Z17" s="422">
        <v>0</v>
      </c>
      <c r="AA17" s="423">
        <f t="shared" si="12"/>
        <v>6.75</v>
      </c>
      <c r="AB17" s="426">
        <v>0</v>
      </c>
      <c r="AC17" s="422" t="str">
        <f t="shared" si="13"/>
        <v>0</v>
      </c>
      <c r="AD17" s="406">
        <v>1</v>
      </c>
      <c r="AE17" s="406">
        <f t="shared" si="14"/>
        <v>2.25</v>
      </c>
      <c r="AF17" s="406">
        <v>0</v>
      </c>
      <c r="AG17" s="406" t="str">
        <f t="shared" si="15"/>
        <v>0</v>
      </c>
      <c r="AH17" s="422">
        <v>117.53189999999999</v>
      </c>
      <c r="AI17" s="427">
        <f t="shared" si="16"/>
        <v>9</v>
      </c>
      <c r="AJ17" s="406">
        <v>0</v>
      </c>
      <c r="AK17" s="406" t="str">
        <f t="shared" si="17"/>
        <v>0</v>
      </c>
      <c r="AL17" s="436">
        <f t="shared" si="18"/>
        <v>54.125</v>
      </c>
      <c r="AM17" s="438" t="s">
        <v>871</v>
      </c>
      <c r="AO17" s="385" t="s">
        <v>872</v>
      </c>
      <c r="AP17" s="341">
        <v>60.5</v>
      </c>
    </row>
    <row r="18" spans="1:42">
      <c r="A18" s="419" t="s">
        <v>864</v>
      </c>
      <c r="B18" s="428">
        <v>-13.5</v>
      </c>
      <c r="C18" s="406">
        <f t="shared" si="0"/>
        <v>3.375</v>
      </c>
      <c r="D18" s="406">
        <v>0</v>
      </c>
      <c r="E18" s="406" t="str">
        <f t="shared" si="1"/>
        <v>0</v>
      </c>
      <c r="F18" s="433">
        <v>-341.9</v>
      </c>
      <c r="G18" s="406">
        <f t="shared" si="2"/>
        <v>3.375</v>
      </c>
      <c r="H18" s="421">
        <v>0</v>
      </c>
      <c r="I18" s="406" t="str">
        <f t="shared" si="3"/>
        <v>0</v>
      </c>
      <c r="J18" s="422">
        <v>-27.919</v>
      </c>
      <c r="K18" s="423">
        <f t="shared" si="4"/>
        <v>1.25</v>
      </c>
      <c r="L18" s="422">
        <v>-0.51790000000000003</v>
      </c>
      <c r="M18" s="423">
        <f t="shared" si="19"/>
        <v>1.25</v>
      </c>
      <c r="N18" s="424">
        <v>-2.98</v>
      </c>
      <c r="O18" s="406">
        <f t="shared" si="6"/>
        <v>4.5</v>
      </c>
      <c r="P18" s="421">
        <v>0</v>
      </c>
      <c r="Q18" s="406" t="str">
        <f t="shared" si="7"/>
        <v>0</v>
      </c>
      <c r="R18" s="425">
        <v>-5.83</v>
      </c>
      <c r="S18" s="423">
        <f t="shared" si="8"/>
        <v>2.25</v>
      </c>
      <c r="T18" s="426">
        <v>0</v>
      </c>
      <c r="U18" s="422" t="str">
        <f t="shared" si="9"/>
        <v>0</v>
      </c>
      <c r="V18" s="434">
        <v>-8.2299999999999998E-2</v>
      </c>
      <c r="W18" s="423">
        <f t="shared" si="10"/>
        <v>6.75</v>
      </c>
      <c r="X18" s="426">
        <v>0</v>
      </c>
      <c r="Y18" s="422" t="str">
        <f t="shared" si="11"/>
        <v>0</v>
      </c>
      <c r="Z18" s="434">
        <v>-0.1062</v>
      </c>
      <c r="AA18" s="423">
        <f t="shared" si="12"/>
        <v>3.375</v>
      </c>
      <c r="AB18" s="426">
        <v>0</v>
      </c>
      <c r="AC18" s="422" t="str">
        <f t="shared" si="13"/>
        <v>0</v>
      </c>
      <c r="AD18" s="406">
        <v>0.94</v>
      </c>
      <c r="AE18" s="406">
        <f t="shared" si="14"/>
        <v>1.125</v>
      </c>
      <c r="AF18" s="406">
        <v>0</v>
      </c>
      <c r="AG18" s="406" t="str">
        <f t="shared" si="15"/>
        <v>0</v>
      </c>
      <c r="AH18" s="422">
        <v>-0.31009999999999999</v>
      </c>
      <c r="AI18" s="427">
        <f t="shared" si="16"/>
        <v>2.25</v>
      </c>
      <c r="AJ18" s="406">
        <v>0</v>
      </c>
      <c r="AK18" s="406" t="str">
        <f t="shared" si="17"/>
        <v>0</v>
      </c>
      <c r="AL18" s="436">
        <f t="shared" si="18"/>
        <v>29.5</v>
      </c>
      <c r="AM18" s="437" t="s">
        <v>864</v>
      </c>
      <c r="AO18" s="385" t="s">
        <v>873</v>
      </c>
      <c r="AP18" s="341">
        <v>59</v>
      </c>
    </row>
    <row r="19" spans="1:42">
      <c r="A19" s="419" t="s">
        <v>872</v>
      </c>
      <c r="B19" s="428">
        <v>-4.3</v>
      </c>
      <c r="C19" s="406">
        <f t="shared" si="0"/>
        <v>6.75</v>
      </c>
      <c r="D19" s="433">
        <v>0</v>
      </c>
      <c r="E19" s="406" t="str">
        <f t="shared" si="1"/>
        <v>0</v>
      </c>
      <c r="F19" s="406">
        <v>27</v>
      </c>
      <c r="G19" s="406">
        <f t="shared" si="2"/>
        <v>10.125</v>
      </c>
      <c r="H19" s="421">
        <v>0</v>
      </c>
      <c r="I19" s="406" t="str">
        <f t="shared" si="3"/>
        <v>0</v>
      </c>
      <c r="J19" s="422">
        <v>1.6999999999999999E-3</v>
      </c>
      <c r="K19" s="423">
        <f t="shared" si="4"/>
        <v>5</v>
      </c>
      <c r="L19" s="422">
        <v>-0.1158</v>
      </c>
      <c r="M19" s="423">
        <f t="shared" si="19"/>
        <v>3.75</v>
      </c>
      <c r="N19" s="424">
        <v>19.600000000000001</v>
      </c>
      <c r="O19" s="406">
        <f t="shared" si="6"/>
        <v>3.375</v>
      </c>
      <c r="P19" s="421">
        <v>1</v>
      </c>
      <c r="Q19" s="406" t="str">
        <f t="shared" si="7"/>
        <v>0,5</v>
      </c>
      <c r="R19" s="425">
        <v>6.7999999999999996E-3</v>
      </c>
      <c r="S19" s="423">
        <f t="shared" si="8"/>
        <v>4.5</v>
      </c>
      <c r="T19" s="406">
        <v>1</v>
      </c>
      <c r="U19" s="422" t="str">
        <f t="shared" si="9"/>
        <v>1</v>
      </c>
      <c r="V19" s="422">
        <v>-6.1999999999999998E-3</v>
      </c>
      <c r="W19" s="423">
        <f t="shared" si="10"/>
        <v>6.75</v>
      </c>
      <c r="X19" s="406">
        <v>1</v>
      </c>
      <c r="Y19" s="422" t="str">
        <f t="shared" si="11"/>
        <v>1,5</v>
      </c>
      <c r="Z19" s="434">
        <v>-2.7199999999999998E-2</v>
      </c>
      <c r="AA19" s="423">
        <f t="shared" si="12"/>
        <v>6.75</v>
      </c>
      <c r="AB19" s="406">
        <v>0</v>
      </c>
      <c r="AC19" s="422" t="str">
        <f t="shared" si="13"/>
        <v>0</v>
      </c>
      <c r="AD19" s="406">
        <v>0.98</v>
      </c>
      <c r="AE19" s="406">
        <f t="shared" si="14"/>
        <v>1.125</v>
      </c>
      <c r="AF19" s="406">
        <v>0</v>
      </c>
      <c r="AG19" s="406" t="str">
        <f t="shared" si="15"/>
        <v>0</v>
      </c>
      <c r="AH19" s="422">
        <v>0.19220000000000001</v>
      </c>
      <c r="AI19" s="427">
        <f t="shared" si="16"/>
        <v>6.75</v>
      </c>
      <c r="AJ19" s="406">
        <v>0</v>
      </c>
      <c r="AK19" s="406" t="str">
        <f t="shared" si="17"/>
        <v>0</v>
      </c>
      <c r="AL19" s="436">
        <f t="shared" si="18"/>
        <v>57.875</v>
      </c>
      <c r="AM19" s="437" t="s">
        <v>872</v>
      </c>
      <c r="AO19" s="384" t="s">
        <v>871</v>
      </c>
      <c r="AP19" s="341">
        <v>56.875</v>
      </c>
    </row>
    <row r="20" spans="1:42">
      <c r="A20" s="420" t="s">
        <v>870</v>
      </c>
      <c r="B20" s="421">
        <v>10</v>
      </c>
      <c r="C20" s="406">
        <f t="shared" si="0"/>
        <v>13.5</v>
      </c>
      <c r="D20" s="406">
        <v>0</v>
      </c>
      <c r="E20" s="406" t="str">
        <f t="shared" si="1"/>
        <v>0</v>
      </c>
      <c r="F20" s="406">
        <v>16.399999999999999</v>
      </c>
      <c r="G20" s="406">
        <f t="shared" si="2"/>
        <v>10.125</v>
      </c>
      <c r="H20" s="421">
        <v>0</v>
      </c>
      <c r="I20" s="406" t="str">
        <f t="shared" si="3"/>
        <v>0</v>
      </c>
      <c r="J20" s="422">
        <v>-7.7999999999999996E-3</v>
      </c>
      <c r="K20" s="423">
        <f t="shared" si="4"/>
        <v>2.5</v>
      </c>
      <c r="L20" s="422">
        <v>-0.1467</v>
      </c>
      <c r="M20" s="423">
        <f t="shared" si="19"/>
        <v>3.75</v>
      </c>
      <c r="N20" s="424">
        <v>93.33</v>
      </c>
      <c r="O20" s="406">
        <f t="shared" si="6"/>
        <v>1.125</v>
      </c>
      <c r="P20" s="421">
        <v>1</v>
      </c>
      <c r="Q20" s="406" t="str">
        <f t="shared" si="7"/>
        <v>0,5</v>
      </c>
      <c r="R20" s="425">
        <v>0.24690000000000001</v>
      </c>
      <c r="S20" s="423">
        <f t="shared" si="8"/>
        <v>9</v>
      </c>
      <c r="T20" s="406">
        <v>1</v>
      </c>
      <c r="U20" s="422" t="str">
        <f t="shared" si="9"/>
        <v>1</v>
      </c>
      <c r="V20" s="422">
        <v>0.14860000000000001</v>
      </c>
      <c r="W20" s="423">
        <f t="shared" si="10"/>
        <v>13.5</v>
      </c>
      <c r="X20" s="406">
        <v>1</v>
      </c>
      <c r="Y20" s="422" t="str">
        <f t="shared" si="11"/>
        <v>1,5</v>
      </c>
      <c r="Z20" s="422">
        <v>0.10920000000000001</v>
      </c>
      <c r="AA20" s="423">
        <f t="shared" si="12"/>
        <v>13.5</v>
      </c>
      <c r="AB20" s="406">
        <v>0</v>
      </c>
      <c r="AC20" s="422" t="str">
        <f t="shared" si="13"/>
        <v>0</v>
      </c>
      <c r="AD20" s="406">
        <v>1.1599999999999999</v>
      </c>
      <c r="AE20" s="406">
        <f t="shared" si="14"/>
        <v>4.5</v>
      </c>
      <c r="AF20" s="406">
        <v>1</v>
      </c>
      <c r="AG20" s="406" t="str">
        <f t="shared" si="15"/>
        <v>0,5</v>
      </c>
      <c r="AH20" s="422">
        <v>0.14979999999999999</v>
      </c>
      <c r="AI20" s="427">
        <f t="shared" si="16"/>
        <v>6.75</v>
      </c>
      <c r="AJ20" s="406">
        <v>0</v>
      </c>
      <c r="AK20" s="406" t="str">
        <f t="shared" si="17"/>
        <v>0</v>
      </c>
      <c r="AL20" s="436">
        <f t="shared" si="18"/>
        <v>81.75</v>
      </c>
      <c r="AM20" s="438" t="s">
        <v>870</v>
      </c>
      <c r="AO20" s="384" t="s">
        <v>869</v>
      </c>
      <c r="AP20" s="341">
        <v>50.6875</v>
      </c>
    </row>
    <row r="21" spans="1:42">
      <c r="A21" s="420" t="s">
        <v>868</v>
      </c>
      <c r="B21" s="421">
        <v>6.6</v>
      </c>
      <c r="C21" s="406">
        <f t="shared" si="0"/>
        <v>13.5</v>
      </c>
      <c r="D21" s="406">
        <v>1</v>
      </c>
      <c r="E21" s="406" t="str">
        <f t="shared" si="1"/>
        <v>1,5</v>
      </c>
      <c r="F21" s="406">
        <v>7.3</v>
      </c>
      <c r="G21" s="406">
        <f t="shared" si="2"/>
        <v>10.125</v>
      </c>
      <c r="H21" s="421">
        <v>0</v>
      </c>
      <c r="I21" s="406" t="str">
        <f t="shared" si="3"/>
        <v>0</v>
      </c>
      <c r="J21" s="422">
        <v>-5.1999999999999998E-3</v>
      </c>
      <c r="K21" s="423">
        <f t="shared" si="4"/>
        <v>2.5</v>
      </c>
      <c r="L21" s="422">
        <v>0.69359999999999999</v>
      </c>
      <c r="M21" s="423">
        <f t="shared" si="19"/>
        <v>5</v>
      </c>
      <c r="N21" s="431">
        <v>-2.66</v>
      </c>
      <c r="O21" s="406">
        <f t="shared" si="6"/>
        <v>4.5</v>
      </c>
      <c r="P21" s="421">
        <v>1</v>
      </c>
      <c r="Q21" s="406" t="str">
        <f t="shared" si="7"/>
        <v>0,5</v>
      </c>
      <c r="R21" s="425">
        <v>3.2199999999999999E-2</v>
      </c>
      <c r="S21" s="423">
        <f t="shared" si="8"/>
        <v>4.5</v>
      </c>
      <c r="T21" s="406">
        <v>1</v>
      </c>
      <c r="U21" s="422" t="str">
        <f t="shared" si="9"/>
        <v>1</v>
      </c>
      <c r="V21" s="422">
        <v>3.2800000000000003E-2</v>
      </c>
      <c r="W21" s="423">
        <f t="shared" si="10"/>
        <v>10.125</v>
      </c>
      <c r="X21" s="406">
        <v>1</v>
      </c>
      <c r="Y21" s="422" t="str">
        <f t="shared" si="11"/>
        <v>1,5</v>
      </c>
      <c r="Z21" s="422">
        <v>8.0000000000000004E-4</v>
      </c>
      <c r="AA21" s="423">
        <f t="shared" si="12"/>
        <v>6.75</v>
      </c>
      <c r="AB21" s="406">
        <v>1</v>
      </c>
      <c r="AC21" s="422" t="str">
        <f t="shared" si="13"/>
        <v>1,5</v>
      </c>
      <c r="AD21" s="406">
        <v>1.02</v>
      </c>
      <c r="AE21" s="406">
        <f t="shared" si="14"/>
        <v>3.375</v>
      </c>
      <c r="AF21" s="406">
        <v>1</v>
      </c>
      <c r="AG21" s="406" t="str">
        <f t="shared" si="15"/>
        <v>0,5</v>
      </c>
      <c r="AH21" s="422">
        <v>0.216</v>
      </c>
      <c r="AI21" s="427">
        <f t="shared" si="16"/>
        <v>9</v>
      </c>
      <c r="AJ21" s="406">
        <v>1</v>
      </c>
      <c r="AK21" s="406" t="str">
        <f t="shared" si="17"/>
        <v>1</v>
      </c>
      <c r="AL21" s="436">
        <f t="shared" si="18"/>
        <v>76.875</v>
      </c>
      <c r="AM21" s="438" t="s">
        <v>868</v>
      </c>
      <c r="AO21" s="384" t="s">
        <v>865</v>
      </c>
      <c r="AP21" s="341">
        <v>50.0625</v>
      </c>
    </row>
    <row r="22" spans="1:42">
      <c r="A22" s="420" t="s">
        <v>867</v>
      </c>
      <c r="B22" s="421">
        <v>2.2999999999999998</v>
      </c>
      <c r="C22" s="406">
        <f t="shared" si="0"/>
        <v>10.125</v>
      </c>
      <c r="D22" s="406">
        <v>1</v>
      </c>
      <c r="E22" s="406" t="str">
        <f t="shared" si="1"/>
        <v>1,5</v>
      </c>
      <c r="F22" s="406">
        <v>2.2000000000000002</v>
      </c>
      <c r="G22" s="406">
        <f t="shared" si="2"/>
        <v>6.75</v>
      </c>
      <c r="H22" s="421">
        <v>1</v>
      </c>
      <c r="I22" s="406" t="str">
        <f t="shared" si="3"/>
        <v>1,5</v>
      </c>
      <c r="J22" s="422">
        <v>-1.1299999999999999E-2</v>
      </c>
      <c r="K22" s="423">
        <f t="shared" si="4"/>
        <v>1.25</v>
      </c>
      <c r="L22" s="422">
        <v>0.36599999999999999</v>
      </c>
      <c r="M22" s="423">
        <f t="shared" si="19"/>
        <v>5</v>
      </c>
      <c r="N22" s="424">
        <v>18.420000000000002</v>
      </c>
      <c r="O22" s="406">
        <f t="shared" si="6"/>
        <v>3.375</v>
      </c>
      <c r="P22" s="421">
        <v>1</v>
      </c>
      <c r="Q22" s="406" t="str">
        <f t="shared" si="7"/>
        <v>0,5</v>
      </c>
      <c r="R22" s="425">
        <v>2.1499999999999998E-2</v>
      </c>
      <c r="S22" s="423">
        <f t="shared" si="8"/>
        <v>4.5</v>
      </c>
      <c r="T22" s="406">
        <v>1</v>
      </c>
      <c r="U22" s="422" t="str">
        <f t="shared" si="9"/>
        <v>1</v>
      </c>
      <c r="V22" s="422">
        <v>8.3000000000000001E-3</v>
      </c>
      <c r="W22" s="423">
        <f t="shared" si="10"/>
        <v>6.75</v>
      </c>
      <c r="X22" s="406">
        <v>1</v>
      </c>
      <c r="Y22" s="422" t="str">
        <f t="shared" si="11"/>
        <v>1,5</v>
      </c>
      <c r="Z22" s="422">
        <v>3.0999999999999999E-3</v>
      </c>
      <c r="AA22" s="423">
        <f t="shared" si="12"/>
        <v>6.75</v>
      </c>
      <c r="AB22" s="406">
        <v>1</v>
      </c>
      <c r="AC22" s="422" t="str">
        <f t="shared" si="13"/>
        <v>1,5</v>
      </c>
      <c r="AD22" s="406">
        <v>0.91</v>
      </c>
      <c r="AE22" s="406">
        <f t="shared" si="14"/>
        <v>1.125</v>
      </c>
      <c r="AF22" s="406">
        <v>0</v>
      </c>
      <c r="AG22" s="406" t="str">
        <f t="shared" si="15"/>
        <v>0</v>
      </c>
      <c r="AH22" s="422">
        <v>4.9299999999999997E-2</v>
      </c>
      <c r="AI22" s="427">
        <f t="shared" si="16"/>
        <v>4.5</v>
      </c>
      <c r="AJ22" s="406">
        <v>1</v>
      </c>
      <c r="AK22" s="406" t="str">
        <f t="shared" si="17"/>
        <v>1</v>
      </c>
      <c r="AL22" s="436">
        <f t="shared" si="18"/>
        <v>58.625</v>
      </c>
      <c r="AM22" s="438" t="s">
        <v>867</v>
      </c>
      <c r="AO22" s="384" t="s">
        <v>866</v>
      </c>
      <c r="AP22" s="341">
        <v>45.75</v>
      </c>
    </row>
    <row r="23" spans="1:42" ht="16.5" thickBot="1">
      <c r="A23" s="420" t="s">
        <v>865</v>
      </c>
      <c r="B23" s="421">
        <v>1</v>
      </c>
      <c r="C23" s="406">
        <f t="shared" si="0"/>
        <v>6.75</v>
      </c>
      <c r="D23" s="406">
        <v>0</v>
      </c>
      <c r="E23" s="406" t="str">
        <f t="shared" si="1"/>
        <v>0</v>
      </c>
      <c r="F23" s="433">
        <v>-1</v>
      </c>
      <c r="G23" s="406">
        <f t="shared" si="2"/>
        <v>3.375</v>
      </c>
      <c r="H23" s="421">
        <v>1</v>
      </c>
      <c r="I23" s="406" t="str">
        <f t="shared" si="3"/>
        <v>1,5</v>
      </c>
      <c r="J23" s="422">
        <v>-5.4999999999999997E-3</v>
      </c>
      <c r="K23" s="423">
        <f t="shared" si="4"/>
        <v>2.5</v>
      </c>
      <c r="L23" s="422">
        <v>-0.15670000000000001</v>
      </c>
      <c r="M23" s="423">
        <f t="shared" si="19"/>
        <v>3.75</v>
      </c>
      <c r="N23" s="424">
        <v>18.829999999999998</v>
      </c>
      <c r="O23" s="406">
        <f t="shared" si="6"/>
        <v>3.375</v>
      </c>
      <c r="P23" s="421">
        <v>0</v>
      </c>
      <c r="Q23" s="406" t="str">
        <f t="shared" si="7"/>
        <v>0</v>
      </c>
      <c r="R23" s="425">
        <v>1.93</v>
      </c>
      <c r="S23" s="423">
        <f t="shared" si="8"/>
        <v>9</v>
      </c>
      <c r="T23" s="406">
        <v>0</v>
      </c>
      <c r="U23" s="422" t="str">
        <f t="shared" si="9"/>
        <v>0</v>
      </c>
      <c r="V23" s="422">
        <v>6.6E-3</v>
      </c>
      <c r="W23" s="423">
        <f t="shared" si="10"/>
        <v>6.75</v>
      </c>
      <c r="X23" s="406">
        <v>0</v>
      </c>
      <c r="Y23" s="422" t="str">
        <f t="shared" si="11"/>
        <v>0</v>
      </c>
      <c r="Z23" s="434">
        <v>-2.3E-3</v>
      </c>
      <c r="AA23" s="423">
        <f t="shared" si="12"/>
        <v>6.75</v>
      </c>
      <c r="AB23" s="406">
        <v>1</v>
      </c>
      <c r="AC23" s="422" t="str">
        <f t="shared" si="13"/>
        <v>1,5</v>
      </c>
      <c r="AD23" s="406">
        <v>0.98</v>
      </c>
      <c r="AE23" s="406">
        <f t="shared" si="14"/>
        <v>1.125</v>
      </c>
      <c r="AF23" s="406">
        <v>0</v>
      </c>
      <c r="AG23" s="406" t="str">
        <f t="shared" si="15"/>
        <v>0</v>
      </c>
      <c r="AH23" s="422">
        <v>4.3700000000000003E-2</v>
      </c>
      <c r="AI23" s="427">
        <f t="shared" si="16"/>
        <v>2.25</v>
      </c>
      <c r="AJ23" s="406">
        <v>1</v>
      </c>
      <c r="AK23" s="406" t="str">
        <f t="shared" si="17"/>
        <v>1</v>
      </c>
      <c r="AL23" s="436">
        <f t="shared" si="18"/>
        <v>49.625</v>
      </c>
      <c r="AM23" s="438" t="s">
        <v>865</v>
      </c>
      <c r="AO23" s="383" t="s">
        <v>864</v>
      </c>
      <c r="AP23" s="382">
        <v>30.5</v>
      </c>
    </row>
    <row r="24" spans="1:42" ht="16.5" thickTop="1">
      <c r="E24" s="331"/>
      <c r="M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</row>
    <row r="25" spans="1:42" ht="18.75">
      <c r="A25" s="267" t="s">
        <v>60</v>
      </c>
      <c r="B25" s="267" t="s">
        <v>59</v>
      </c>
      <c r="C25" s="267"/>
      <c r="D25" s="267"/>
      <c r="E25" s="267"/>
      <c r="F25" s="267" t="s">
        <v>58</v>
      </c>
      <c r="G25" s="267"/>
      <c r="H25" s="266"/>
      <c r="I25" s="266"/>
      <c r="J25" s="266"/>
      <c r="K25" s="266"/>
      <c r="L25" s="266" t="s">
        <v>57</v>
      </c>
      <c r="M25" s="266"/>
      <c r="S25" s="305"/>
    </row>
    <row r="26" spans="1:42" ht="17.25">
      <c r="A26" s="265" t="s">
        <v>56</v>
      </c>
      <c r="B26" s="256">
        <v>13.5</v>
      </c>
      <c r="C26" s="256"/>
      <c r="D26" s="264"/>
      <c r="E26" s="264"/>
      <c r="F26" s="256">
        <f>L26-B26</f>
        <v>1.5</v>
      </c>
      <c r="G26" s="256"/>
      <c r="H26" s="262"/>
      <c r="I26" s="262"/>
      <c r="J26" s="262"/>
      <c r="K26" s="262"/>
      <c r="L26" s="256">
        <v>15</v>
      </c>
      <c r="M26" s="256"/>
      <c r="S26" s="305"/>
      <c r="X26" s="305"/>
      <c r="AC26" s="305"/>
    </row>
    <row r="27" spans="1:42">
      <c r="A27" s="236" t="s">
        <v>727</v>
      </c>
      <c r="B27" s="264">
        <f>B26*0.25</f>
        <v>3.375</v>
      </c>
      <c r="C27" s="250"/>
      <c r="D27" s="250"/>
      <c r="E27" s="250"/>
      <c r="F27" s="250" t="s">
        <v>7</v>
      </c>
      <c r="G27" s="250"/>
      <c r="H27" s="236">
        <v>1.5</v>
      </c>
      <c r="S27" s="305"/>
      <c r="X27" s="305"/>
      <c r="AC27" s="305"/>
    </row>
    <row r="28" spans="1:42">
      <c r="A28" s="236" t="s">
        <v>863</v>
      </c>
      <c r="B28" s="250">
        <f>B26*0.5</f>
        <v>6.75</v>
      </c>
      <c r="C28" s="250"/>
      <c r="D28" s="250"/>
      <c r="E28" s="250"/>
      <c r="F28" s="250" t="s">
        <v>4</v>
      </c>
      <c r="G28" s="250"/>
      <c r="H28" s="236">
        <v>0</v>
      </c>
      <c r="S28" s="305"/>
      <c r="X28" s="305"/>
      <c r="AC28" s="305"/>
    </row>
    <row r="29" spans="1:42">
      <c r="A29" s="236" t="s">
        <v>223</v>
      </c>
      <c r="B29" s="250">
        <f>B26*0.75</f>
        <v>10.125</v>
      </c>
      <c r="C29" s="250"/>
      <c r="D29" s="250"/>
      <c r="E29" s="250"/>
      <c r="F29" s="250"/>
      <c r="G29" s="250"/>
      <c r="X29" s="305"/>
      <c r="AC29" s="305"/>
    </row>
    <row r="30" spans="1:42">
      <c r="A30" s="236" t="s">
        <v>222</v>
      </c>
      <c r="B30" s="250">
        <f>B26*1</f>
        <v>13.5</v>
      </c>
      <c r="C30" s="250"/>
      <c r="D30" s="250"/>
      <c r="E30" s="250"/>
      <c r="F30" s="250"/>
      <c r="G30" s="250"/>
    </row>
    <row r="31" spans="1:42">
      <c r="B31" s="250"/>
      <c r="C31" s="250"/>
      <c r="D31" s="250"/>
      <c r="E31" s="250"/>
      <c r="F31" s="250"/>
      <c r="G31" s="250"/>
    </row>
    <row r="32" spans="1:42" ht="17.25">
      <c r="A32" s="265" t="s">
        <v>51</v>
      </c>
      <c r="B32" s="256">
        <v>13.5</v>
      </c>
      <c r="C32" s="250"/>
      <c r="D32" s="250"/>
      <c r="E32" s="250"/>
      <c r="F32" s="250"/>
      <c r="G32" s="250"/>
    </row>
    <row r="33" spans="1:13">
      <c r="A33" s="252" t="s">
        <v>50</v>
      </c>
      <c r="B33" s="264">
        <f>B32*0.25</f>
        <v>3.375</v>
      </c>
      <c r="C33" s="256"/>
      <c r="D33" s="264"/>
      <c r="E33" s="264"/>
      <c r="F33" s="256">
        <f>L33-B32</f>
        <v>1.5</v>
      </c>
      <c r="G33" s="256"/>
      <c r="H33" s="262"/>
      <c r="I33" s="262"/>
      <c r="J33" s="262"/>
      <c r="K33" s="262"/>
      <c r="L33" s="256">
        <v>15</v>
      </c>
      <c r="M33" s="256"/>
    </row>
    <row r="34" spans="1:13">
      <c r="A34" s="236" t="s">
        <v>221</v>
      </c>
      <c r="B34" s="250">
        <f>B32*0.5</f>
        <v>6.75</v>
      </c>
      <c r="C34" s="250"/>
      <c r="D34" s="250"/>
      <c r="E34" s="250"/>
      <c r="F34" s="250" t="s">
        <v>7</v>
      </c>
      <c r="G34" s="250"/>
      <c r="H34" s="236">
        <v>1.5</v>
      </c>
    </row>
    <row r="35" spans="1:13">
      <c r="A35" s="236" t="s">
        <v>220</v>
      </c>
      <c r="B35" s="250">
        <f>B32*0.75</f>
        <v>10.125</v>
      </c>
      <c r="C35" s="250"/>
      <c r="D35" s="250"/>
      <c r="E35" s="250"/>
      <c r="F35" s="250" t="s">
        <v>4</v>
      </c>
      <c r="G35" s="250"/>
      <c r="H35" s="236">
        <v>0</v>
      </c>
    </row>
    <row r="36" spans="1:13">
      <c r="A36" s="236" t="s">
        <v>219</v>
      </c>
      <c r="B36" s="250">
        <f>B32*1</f>
        <v>13.5</v>
      </c>
      <c r="C36" s="250"/>
      <c r="D36" s="250"/>
      <c r="E36" s="250"/>
      <c r="F36" s="250"/>
      <c r="G36" s="250"/>
    </row>
    <row r="37" spans="1:13">
      <c r="B37" s="250"/>
      <c r="C37" s="250"/>
      <c r="D37" s="250"/>
      <c r="E37" s="250"/>
      <c r="F37" s="250"/>
      <c r="G37" s="250"/>
    </row>
    <row r="38" spans="1:13" ht="16.5" thickBot="1">
      <c r="B38" s="250"/>
      <c r="C38" s="250"/>
      <c r="D38" s="250"/>
      <c r="E38" s="250"/>
      <c r="F38" s="250"/>
      <c r="G38" s="250"/>
    </row>
    <row r="39" spans="1:13" ht="17.25">
      <c r="A39" s="265" t="s">
        <v>46</v>
      </c>
      <c r="B39" s="378">
        <v>5</v>
      </c>
      <c r="C39" s="377" t="s">
        <v>10</v>
      </c>
      <c r="D39" s="380"/>
      <c r="E39" s="250"/>
      <c r="F39" s="250"/>
      <c r="G39" s="250"/>
      <c r="L39" s="249">
        <v>5</v>
      </c>
      <c r="M39" s="249"/>
    </row>
    <row r="40" spans="1:13">
      <c r="A40" s="236" t="s">
        <v>862</v>
      </c>
      <c r="B40" s="375">
        <f>B39*0.25</f>
        <v>1.25</v>
      </c>
      <c r="C40" s="313" t="s">
        <v>8</v>
      </c>
      <c r="D40" s="379">
        <f>QUARTILE(J4:J23,1)</f>
        <v>-8.6999999999999994E-3</v>
      </c>
      <c r="E40" s="250"/>
      <c r="F40" s="250"/>
      <c r="G40" s="250"/>
    </row>
    <row r="41" spans="1:13">
      <c r="A41" s="236" t="s">
        <v>861</v>
      </c>
      <c r="B41" s="375">
        <f>B39*0.5</f>
        <v>2.5</v>
      </c>
      <c r="C41" s="313" t="s">
        <v>5</v>
      </c>
      <c r="D41" s="379">
        <f>QUARTILE(J4:J23,2)</f>
        <v>-2.5999999999999999E-3</v>
      </c>
      <c r="E41" s="250"/>
      <c r="F41" s="250"/>
      <c r="G41" s="250"/>
    </row>
    <row r="42" spans="1:13">
      <c r="A42" s="236" t="s">
        <v>860</v>
      </c>
      <c r="B42" s="375">
        <f>B39*0.75</f>
        <v>3.75</v>
      </c>
      <c r="C42" s="313" t="s">
        <v>2</v>
      </c>
      <c r="D42" s="379">
        <f>QUARTILE(J4:J23,3)</f>
        <v>8.7499999999999991E-4</v>
      </c>
      <c r="E42" s="250"/>
      <c r="F42" s="250"/>
      <c r="G42" s="250"/>
    </row>
    <row r="43" spans="1:13" ht="16.5" thickBot="1">
      <c r="A43" s="236" t="s">
        <v>859</v>
      </c>
      <c r="B43" s="373">
        <f>B39*1</f>
        <v>5</v>
      </c>
      <c r="C43" s="372"/>
      <c r="D43" s="381"/>
      <c r="E43" s="250"/>
      <c r="F43" s="250"/>
      <c r="G43" s="250"/>
    </row>
    <row r="44" spans="1:13" ht="16.5" thickBot="1">
      <c r="B44" s="250"/>
      <c r="C44" s="250"/>
      <c r="D44" s="276"/>
      <c r="E44" s="250"/>
      <c r="F44" s="250"/>
      <c r="G44" s="250"/>
    </row>
    <row r="45" spans="1:13" ht="17.25">
      <c r="A45" s="265" t="s">
        <v>41</v>
      </c>
      <c r="B45" s="378">
        <v>5</v>
      </c>
      <c r="C45" s="377" t="s">
        <v>10</v>
      </c>
      <c r="D45" s="380"/>
      <c r="E45" s="250"/>
      <c r="F45" s="250"/>
      <c r="G45" s="250"/>
      <c r="L45" s="249">
        <v>5</v>
      </c>
      <c r="M45" s="249"/>
    </row>
    <row r="46" spans="1:13">
      <c r="A46" s="236" t="s">
        <v>858</v>
      </c>
      <c r="B46" s="375">
        <f>B45*0.25</f>
        <v>1.25</v>
      </c>
      <c r="C46" s="313" t="s">
        <v>8</v>
      </c>
      <c r="D46" s="379">
        <f>QUARTILE(L4:L23,1)</f>
        <v>-0.48572499999999996</v>
      </c>
      <c r="E46" s="250"/>
      <c r="F46" s="250"/>
      <c r="G46" s="250"/>
    </row>
    <row r="47" spans="1:13">
      <c r="A47" s="236" t="s">
        <v>857</v>
      </c>
      <c r="B47" s="375">
        <f>B45*0.5</f>
        <v>2.5</v>
      </c>
      <c r="C47" s="313" t="s">
        <v>5</v>
      </c>
      <c r="D47" s="379">
        <f>QUARTILE(L4:L23,2)</f>
        <v>-0.19935</v>
      </c>
      <c r="E47" s="250"/>
      <c r="F47" s="250"/>
      <c r="G47" s="250"/>
    </row>
    <row r="48" spans="1:13">
      <c r="A48" s="236" t="s">
        <v>856</v>
      </c>
      <c r="B48" s="375">
        <f>B45*0.75</f>
        <v>3.75</v>
      </c>
      <c r="C48" s="313" t="s">
        <v>2</v>
      </c>
      <c r="D48" s="379">
        <f>QUARTILE(L4:L23,3)</f>
        <v>0.24</v>
      </c>
      <c r="E48" s="250"/>
      <c r="F48" s="250"/>
      <c r="G48" s="250"/>
    </row>
    <row r="49" spans="1:13" ht="16.5" thickBot="1">
      <c r="A49" s="236" t="s">
        <v>855</v>
      </c>
      <c r="B49" s="373">
        <f>B45*1</f>
        <v>5</v>
      </c>
      <c r="C49" s="372"/>
      <c r="D49" s="371"/>
      <c r="E49" s="250"/>
      <c r="F49" s="250"/>
      <c r="G49" s="250"/>
    </row>
    <row r="50" spans="1:13" ht="16.5" thickBot="1">
      <c r="B50" s="250"/>
      <c r="C50" s="250"/>
      <c r="D50" s="250"/>
      <c r="E50" s="250"/>
      <c r="F50" s="250"/>
      <c r="G50" s="250"/>
    </row>
    <row r="51" spans="1:13" ht="17.25">
      <c r="A51" s="290" t="s">
        <v>36</v>
      </c>
      <c r="B51" s="378">
        <v>4.5</v>
      </c>
      <c r="C51" s="377" t="s">
        <v>10</v>
      </c>
      <c r="D51" s="376"/>
      <c r="E51" s="254"/>
      <c r="F51" s="254">
        <f>L51-B51</f>
        <v>0.5</v>
      </c>
      <c r="G51" s="254"/>
      <c r="H51" s="258"/>
      <c r="I51" s="258"/>
      <c r="J51" s="258"/>
      <c r="K51" s="258"/>
      <c r="L51" s="254">
        <v>5</v>
      </c>
      <c r="M51" s="254"/>
    </row>
    <row r="52" spans="1:13">
      <c r="A52" s="236" t="s">
        <v>854</v>
      </c>
      <c r="B52" s="375">
        <f>B51*1</f>
        <v>4.5</v>
      </c>
      <c r="C52" s="313" t="s">
        <v>8</v>
      </c>
      <c r="D52" s="374">
        <f>QUARTILE(N4:N23,1)</f>
        <v>-0.10112499999999999</v>
      </c>
      <c r="E52" s="250"/>
      <c r="F52" s="250" t="s">
        <v>7</v>
      </c>
      <c r="G52" s="250"/>
      <c r="H52" s="236">
        <v>0.5</v>
      </c>
    </row>
    <row r="53" spans="1:13">
      <c r="A53" s="236" t="s">
        <v>853</v>
      </c>
      <c r="B53" s="375">
        <f>B51*0.75</f>
        <v>3.375</v>
      </c>
      <c r="C53" s="313" t="s">
        <v>5</v>
      </c>
      <c r="D53" s="374">
        <f>QUARTILE(N4:N23,2)</f>
        <v>23.799999999999997</v>
      </c>
      <c r="E53" s="250"/>
      <c r="F53" s="250" t="s">
        <v>4</v>
      </c>
      <c r="G53" s="250"/>
      <c r="H53" s="236">
        <v>0</v>
      </c>
    </row>
    <row r="54" spans="1:13">
      <c r="A54" s="236" t="s">
        <v>852</v>
      </c>
      <c r="B54" s="375">
        <f>B51*0.5</f>
        <v>2.25</v>
      </c>
      <c r="C54" s="313" t="s">
        <v>2</v>
      </c>
      <c r="D54" s="374">
        <f>QUARTILE(N4:N23,3)</f>
        <v>41.495000000000005</v>
      </c>
      <c r="E54" s="250"/>
      <c r="F54" s="250"/>
      <c r="G54" s="250"/>
    </row>
    <row r="55" spans="1:13" ht="16.5" thickBot="1">
      <c r="A55" s="236" t="s">
        <v>851</v>
      </c>
      <c r="B55" s="373">
        <f>B51*0.25</f>
        <v>1.125</v>
      </c>
      <c r="C55" s="372"/>
      <c r="D55" s="371"/>
      <c r="E55" s="250"/>
      <c r="F55" s="250"/>
      <c r="G55" s="250"/>
    </row>
    <row r="56" spans="1:13">
      <c r="B56" s="250"/>
      <c r="C56" s="250"/>
      <c r="D56" s="250"/>
      <c r="E56" s="250"/>
      <c r="F56" s="250"/>
      <c r="G56" s="250"/>
    </row>
    <row r="57" spans="1:13" ht="17.25">
      <c r="A57" s="290" t="s">
        <v>31</v>
      </c>
      <c r="B57" s="254">
        <v>9</v>
      </c>
      <c r="C57" s="254"/>
      <c r="D57" s="254"/>
      <c r="E57" s="254"/>
      <c r="F57" s="254">
        <f>L57-B57</f>
        <v>1</v>
      </c>
      <c r="G57" s="254"/>
      <c r="H57" s="258"/>
      <c r="I57" s="258"/>
      <c r="J57" s="258"/>
      <c r="K57" s="258"/>
      <c r="L57" s="254">
        <v>10</v>
      </c>
      <c r="M57" s="254"/>
    </row>
    <row r="58" spans="1:13">
      <c r="A58" s="305" t="s">
        <v>460</v>
      </c>
      <c r="B58" s="250">
        <f>B57*0.25</f>
        <v>2.25</v>
      </c>
      <c r="C58" s="250"/>
      <c r="D58" s="250"/>
      <c r="E58" s="250"/>
      <c r="F58" s="250" t="s">
        <v>7</v>
      </c>
      <c r="G58" s="250"/>
      <c r="H58" s="236">
        <v>1</v>
      </c>
    </row>
    <row r="59" spans="1:13">
      <c r="A59" s="305" t="s">
        <v>713</v>
      </c>
      <c r="B59" s="250">
        <f>B57*0.5</f>
        <v>4.5</v>
      </c>
      <c r="C59" s="250"/>
      <c r="D59" s="250"/>
      <c r="E59" s="250"/>
      <c r="F59" s="250" t="s">
        <v>4</v>
      </c>
      <c r="G59" s="250"/>
      <c r="H59" s="236">
        <v>0</v>
      </c>
    </row>
    <row r="60" spans="1:13">
      <c r="A60" s="305" t="s">
        <v>204</v>
      </c>
      <c r="B60" s="250">
        <f>B57*0.75</f>
        <v>6.75</v>
      </c>
      <c r="C60" s="250"/>
      <c r="D60" s="250"/>
      <c r="E60" s="250"/>
      <c r="F60" s="250"/>
      <c r="G60" s="250"/>
    </row>
    <row r="61" spans="1:13">
      <c r="A61" s="305" t="s">
        <v>203</v>
      </c>
      <c r="B61" s="250">
        <f>B57*1</f>
        <v>9</v>
      </c>
      <c r="C61" s="250"/>
      <c r="D61" s="250"/>
      <c r="E61" s="250"/>
      <c r="F61" s="250"/>
      <c r="G61" s="250"/>
    </row>
    <row r="62" spans="1:13">
      <c r="B62" s="250"/>
      <c r="C62" s="250"/>
      <c r="D62" s="250"/>
      <c r="E62" s="250"/>
      <c r="F62" s="250"/>
      <c r="G62" s="250"/>
    </row>
    <row r="63" spans="1:13" ht="17.25">
      <c r="A63" s="290" t="s">
        <v>26</v>
      </c>
      <c r="B63" s="256">
        <v>13.5</v>
      </c>
      <c r="C63" s="254"/>
      <c r="D63" s="254"/>
      <c r="E63" s="254"/>
      <c r="F63" s="256">
        <f>L63-B63</f>
        <v>1.5</v>
      </c>
      <c r="G63" s="254"/>
      <c r="H63" s="258"/>
      <c r="I63" s="258"/>
      <c r="J63" s="258"/>
      <c r="K63" s="258"/>
      <c r="L63" s="254">
        <v>15</v>
      </c>
      <c r="M63" s="254"/>
    </row>
    <row r="64" spans="1:13">
      <c r="A64" s="305" t="s">
        <v>850</v>
      </c>
      <c r="B64" s="264">
        <f>B63*0.25</f>
        <v>3.375</v>
      </c>
      <c r="C64" s="250"/>
      <c r="D64" s="250"/>
      <c r="E64" s="250"/>
      <c r="F64" s="250" t="s">
        <v>7</v>
      </c>
      <c r="G64" s="250"/>
      <c r="H64" s="236">
        <v>1.5</v>
      </c>
    </row>
    <row r="65" spans="1:13">
      <c r="A65" s="305" t="s">
        <v>455</v>
      </c>
      <c r="B65" s="250">
        <f>B63*0.5</f>
        <v>6.75</v>
      </c>
      <c r="C65" s="250"/>
      <c r="D65" s="250"/>
      <c r="E65" s="250"/>
      <c r="F65" s="250" t="s">
        <v>4</v>
      </c>
      <c r="G65" s="250"/>
      <c r="H65" s="236">
        <v>0</v>
      </c>
    </row>
    <row r="66" spans="1:13">
      <c r="A66" s="305" t="s">
        <v>200</v>
      </c>
      <c r="B66" s="250">
        <f>B63*0.75</f>
        <v>10.125</v>
      </c>
      <c r="C66" s="250"/>
      <c r="D66" s="250"/>
      <c r="E66" s="250"/>
      <c r="F66" s="250"/>
      <c r="G66" s="250"/>
    </row>
    <row r="67" spans="1:13">
      <c r="A67" s="305" t="s">
        <v>199</v>
      </c>
      <c r="B67" s="250">
        <f>B63*1</f>
        <v>13.5</v>
      </c>
      <c r="C67" s="250"/>
      <c r="D67" s="250"/>
      <c r="E67" s="250"/>
      <c r="F67" s="250"/>
      <c r="G67" s="250"/>
    </row>
    <row r="68" spans="1:13">
      <c r="B68" s="250"/>
      <c r="C68" s="250"/>
      <c r="D68" s="250"/>
      <c r="E68" s="250"/>
      <c r="F68" s="250"/>
      <c r="G68" s="250"/>
    </row>
    <row r="69" spans="1:13" ht="17.25">
      <c r="A69" s="290" t="s">
        <v>21</v>
      </c>
      <c r="B69" s="256">
        <v>13.5</v>
      </c>
      <c r="C69" s="254"/>
      <c r="D69" s="254"/>
      <c r="E69" s="254"/>
      <c r="F69" s="256">
        <f>L69-B69</f>
        <v>1.5</v>
      </c>
      <c r="G69" s="254"/>
      <c r="H69" s="258"/>
      <c r="I69" s="258"/>
      <c r="J69" s="258"/>
      <c r="K69" s="258"/>
      <c r="L69" s="254">
        <v>15</v>
      </c>
      <c r="M69" s="254"/>
    </row>
    <row r="70" spans="1:13">
      <c r="A70" s="305" t="s">
        <v>454</v>
      </c>
      <c r="B70" s="264">
        <f>B69*0.25</f>
        <v>3.375</v>
      </c>
      <c r="C70" s="250"/>
      <c r="D70" s="250"/>
      <c r="E70" s="250"/>
      <c r="F70" s="250" t="s">
        <v>7</v>
      </c>
      <c r="G70" s="250"/>
      <c r="H70" s="236">
        <v>1.5</v>
      </c>
    </row>
    <row r="71" spans="1:13">
      <c r="A71" s="305" t="s">
        <v>453</v>
      </c>
      <c r="B71" s="250">
        <f>B69*0.5</f>
        <v>6.75</v>
      </c>
      <c r="C71" s="250"/>
      <c r="D71" s="250"/>
      <c r="E71" s="250"/>
      <c r="F71" s="250" t="s">
        <v>4</v>
      </c>
      <c r="G71" s="250"/>
      <c r="H71" s="236">
        <v>0</v>
      </c>
    </row>
    <row r="72" spans="1:13">
      <c r="A72" s="305" t="s">
        <v>196</v>
      </c>
      <c r="B72" s="250">
        <f>B69*0.75</f>
        <v>10.125</v>
      </c>
      <c r="C72" s="250"/>
      <c r="D72" s="250"/>
      <c r="E72" s="250"/>
      <c r="F72" s="250"/>
      <c r="G72" s="250"/>
    </row>
    <row r="73" spans="1:13">
      <c r="A73" s="305" t="s">
        <v>195</v>
      </c>
      <c r="B73" s="250">
        <f>B69*1</f>
        <v>13.5</v>
      </c>
      <c r="C73" s="250"/>
      <c r="D73" s="250"/>
      <c r="E73" s="250"/>
      <c r="F73" s="250"/>
      <c r="G73" s="250"/>
    </row>
    <row r="74" spans="1:13" ht="16.5" thickBot="1">
      <c r="B74" s="250"/>
      <c r="C74" s="250"/>
      <c r="D74" s="250"/>
      <c r="E74" s="250"/>
      <c r="F74" s="250"/>
      <c r="G74" s="250"/>
    </row>
    <row r="75" spans="1:13" ht="17.25">
      <c r="A75" s="290" t="s">
        <v>16</v>
      </c>
      <c r="B75" s="378">
        <v>4.5</v>
      </c>
      <c r="C75" s="377" t="s">
        <v>10</v>
      </c>
      <c r="D75" s="376"/>
      <c r="E75" s="254"/>
      <c r="F75" s="254">
        <f>L75-B75</f>
        <v>0.5</v>
      </c>
      <c r="G75" s="254"/>
      <c r="H75" s="258"/>
      <c r="I75" s="258"/>
      <c r="J75" s="258"/>
      <c r="K75" s="258"/>
      <c r="L75" s="254">
        <v>5</v>
      </c>
      <c r="M75" s="254"/>
    </row>
    <row r="76" spans="1:13">
      <c r="A76" s="236" t="s">
        <v>849</v>
      </c>
      <c r="B76" s="375">
        <f>B75*0.25</f>
        <v>1.125</v>
      </c>
      <c r="C76" s="313" t="s">
        <v>8</v>
      </c>
      <c r="D76" s="374">
        <f>QUARTILE(AD4:AD23,1)</f>
        <v>0.98</v>
      </c>
      <c r="E76" s="250"/>
      <c r="F76" s="250" t="s">
        <v>7</v>
      </c>
      <c r="G76" s="250"/>
      <c r="H76" s="236">
        <v>0.5</v>
      </c>
    </row>
    <row r="77" spans="1:13">
      <c r="A77" s="236" t="s">
        <v>848</v>
      </c>
      <c r="B77" s="375">
        <f>B75*0.5</f>
        <v>2.25</v>
      </c>
      <c r="C77" s="313" t="s">
        <v>5</v>
      </c>
      <c r="D77" s="374">
        <f>QUARTILE(AD4:AD23,2)</f>
        <v>1.01</v>
      </c>
      <c r="E77" s="250"/>
      <c r="F77" s="250" t="s">
        <v>4</v>
      </c>
      <c r="G77" s="250"/>
      <c r="H77" s="236">
        <v>0</v>
      </c>
    </row>
    <row r="78" spans="1:13">
      <c r="A78" s="236" t="s">
        <v>847</v>
      </c>
      <c r="B78" s="375">
        <f>B75*0.75</f>
        <v>3.375</v>
      </c>
      <c r="C78" s="313" t="s">
        <v>2</v>
      </c>
      <c r="D78" s="374">
        <f>QUARTILE(AD4:AD23,3)</f>
        <v>1.0325</v>
      </c>
      <c r="E78" s="250"/>
      <c r="F78" s="250"/>
      <c r="G78" s="250"/>
    </row>
    <row r="79" spans="1:13" ht="16.5" thickBot="1">
      <c r="A79" s="236" t="s">
        <v>846</v>
      </c>
      <c r="B79" s="373">
        <f>B75*1</f>
        <v>4.5</v>
      </c>
      <c r="C79" s="372"/>
      <c r="D79" s="371"/>
      <c r="E79" s="250"/>
      <c r="F79" s="250"/>
      <c r="G79" s="250"/>
    </row>
    <row r="80" spans="1:13" ht="16.5" thickBot="1">
      <c r="B80" s="250"/>
      <c r="C80" s="250"/>
      <c r="D80" s="250"/>
      <c r="E80" s="250"/>
      <c r="F80" s="250"/>
      <c r="G80" s="250"/>
    </row>
    <row r="81" spans="1:13" ht="17.25">
      <c r="A81" s="290" t="s">
        <v>11</v>
      </c>
      <c r="B81" s="378">
        <v>9</v>
      </c>
      <c r="C81" s="377" t="s">
        <v>10</v>
      </c>
      <c r="D81" s="376"/>
      <c r="E81" s="254"/>
      <c r="F81" s="254">
        <f>L81-B81</f>
        <v>1</v>
      </c>
      <c r="G81" s="254"/>
      <c r="H81" s="254"/>
      <c r="I81" s="254"/>
      <c r="J81" s="254"/>
      <c r="K81" s="254"/>
      <c r="L81" s="254">
        <v>10</v>
      </c>
      <c r="M81" s="254"/>
    </row>
    <row r="82" spans="1:13">
      <c r="A82" s="236" t="s">
        <v>845</v>
      </c>
      <c r="B82" s="375">
        <f>B81*0.25</f>
        <v>2.25</v>
      </c>
      <c r="C82" s="313" t="s">
        <v>8</v>
      </c>
      <c r="D82" s="374">
        <f>QUARTILE(AH4:AH23,1)</f>
        <v>4.8724999999999997E-2</v>
      </c>
      <c r="E82" s="250"/>
      <c r="F82" s="250" t="s">
        <v>7</v>
      </c>
      <c r="G82" s="250"/>
      <c r="H82" s="236">
        <v>1</v>
      </c>
    </row>
    <row r="83" spans="1:13">
      <c r="A83" s="236" t="s">
        <v>844</v>
      </c>
      <c r="B83" s="375">
        <f>B81*0.5</f>
        <v>4.5</v>
      </c>
      <c r="C83" s="313" t="s">
        <v>5</v>
      </c>
      <c r="D83" s="374">
        <f>QUARTILE(AH4:AH23,2)</f>
        <v>0.10450000000000001</v>
      </c>
      <c r="E83" s="250"/>
      <c r="F83" s="250" t="s">
        <v>4</v>
      </c>
      <c r="G83" s="250"/>
      <c r="H83" s="236">
        <v>0</v>
      </c>
    </row>
    <row r="84" spans="1:13">
      <c r="A84" s="236" t="s">
        <v>843</v>
      </c>
      <c r="B84" s="375">
        <f>B81*0.75</f>
        <v>6.75</v>
      </c>
      <c r="C84" s="313" t="s">
        <v>2</v>
      </c>
      <c r="D84" s="374">
        <f>QUARTILE(AH4:AH23,3)</f>
        <v>0.19814999999999999</v>
      </c>
      <c r="E84" s="250"/>
      <c r="F84" s="250"/>
      <c r="G84" s="250"/>
    </row>
    <row r="85" spans="1:13" ht="16.5" thickBot="1">
      <c r="A85" s="236" t="s">
        <v>842</v>
      </c>
      <c r="B85" s="373">
        <f>B81*1</f>
        <v>9</v>
      </c>
      <c r="C85" s="372"/>
      <c r="D85" s="371"/>
      <c r="E85" s="250"/>
      <c r="F85" s="250"/>
      <c r="G85" s="250"/>
    </row>
    <row r="86" spans="1:13">
      <c r="B86" s="250"/>
      <c r="C86" s="250"/>
      <c r="D86" s="250"/>
      <c r="E86" s="250"/>
      <c r="F86" s="250"/>
      <c r="G86" s="250"/>
    </row>
    <row r="87" spans="1:13" ht="18.75">
      <c r="B87" s="530" t="s">
        <v>0</v>
      </c>
      <c r="C87" s="530"/>
      <c r="D87" s="530"/>
      <c r="E87" s="530"/>
      <c r="F87" s="530"/>
      <c r="G87" s="530"/>
      <c r="H87" s="530"/>
      <c r="I87" s="530"/>
      <c r="J87" s="530"/>
      <c r="K87" s="249"/>
      <c r="L87" s="248">
        <f>SUM(L26:L84)</f>
        <v>100</v>
      </c>
      <c r="M87" s="248"/>
    </row>
  </sheetData>
  <mergeCells count="2">
    <mergeCell ref="A1:AJ2"/>
    <mergeCell ref="B87:J87"/>
  </mergeCells>
  <pageMargins left="0.75" right="0.75" top="1" bottom="1" header="0.5" footer="0.5"/>
  <legacy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AM87"/>
  <sheetViews>
    <sheetView topLeftCell="A6" zoomScale="75" zoomScaleNormal="75" zoomScalePageLayoutView="75" workbookViewId="0">
      <selection activeCell="A81" sqref="A81"/>
    </sheetView>
  </sheetViews>
  <sheetFormatPr defaultColWidth="12.5703125" defaultRowHeight="15.75"/>
  <cols>
    <col min="1" max="1" width="40.7109375" style="236" bestFit="1" customWidth="1"/>
    <col min="2" max="9" width="12.5703125" style="236"/>
    <col min="10" max="10" width="16.140625" style="236" customWidth="1"/>
    <col min="11" max="11" width="12.5703125" style="236" customWidth="1"/>
    <col min="12" max="12" width="18.42578125" style="236" customWidth="1"/>
    <col min="13" max="13" width="12.5703125" style="236" customWidth="1"/>
    <col min="14" max="14" width="10.140625" style="236" customWidth="1"/>
    <col min="15" max="29" width="12.5703125" style="236" customWidth="1"/>
    <col min="30" max="30" width="12" style="236" customWidth="1"/>
    <col min="31" max="33" width="12.5703125" style="236" customWidth="1"/>
    <col min="34" max="38" width="12.5703125" style="236"/>
    <col min="39" max="39" width="47.28515625" style="236" bestFit="1" customWidth="1"/>
    <col min="40" max="41" width="12.5703125" style="236"/>
    <col min="42" max="42" width="30.7109375" style="236" bestFit="1" customWidth="1"/>
    <col min="43" max="16384" width="12.5703125" style="236"/>
  </cols>
  <sheetData>
    <row r="1" spans="1:39">
      <c r="A1" s="536" t="s">
        <v>915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388"/>
      <c r="AL1" s="388"/>
      <c r="AM1" s="389"/>
    </row>
    <row r="2" spans="1:39">
      <c r="A2" s="536"/>
      <c r="B2" s="536"/>
      <c r="C2" s="536"/>
      <c r="D2" s="536"/>
      <c r="E2" s="536"/>
      <c r="F2" s="536"/>
      <c r="G2" s="536"/>
      <c r="H2" s="536"/>
      <c r="I2" s="536"/>
      <c r="J2" s="536"/>
      <c r="K2" s="536"/>
      <c r="L2" s="536"/>
      <c r="M2" s="536"/>
      <c r="N2" s="536"/>
      <c r="O2" s="536"/>
      <c r="P2" s="536"/>
      <c r="Q2" s="536"/>
      <c r="R2" s="536"/>
      <c r="S2" s="536"/>
      <c r="T2" s="536"/>
      <c r="U2" s="536"/>
      <c r="V2" s="536"/>
      <c r="W2" s="536"/>
      <c r="X2" s="536"/>
      <c r="Y2" s="536"/>
      <c r="Z2" s="536"/>
      <c r="AA2" s="536"/>
      <c r="AB2" s="536"/>
      <c r="AC2" s="536"/>
      <c r="AD2" s="536"/>
      <c r="AE2" s="536"/>
      <c r="AF2" s="536"/>
      <c r="AG2" s="536"/>
      <c r="AH2" s="536"/>
      <c r="AI2" s="536"/>
      <c r="AJ2" s="536"/>
      <c r="AK2" s="388"/>
      <c r="AL2" s="388"/>
      <c r="AM2" s="389"/>
    </row>
    <row r="3" spans="1:39" ht="78.75">
      <c r="A3" s="401" t="s">
        <v>97</v>
      </c>
      <c r="B3" s="401" t="s">
        <v>96</v>
      </c>
      <c r="C3" s="402" t="s">
        <v>93</v>
      </c>
      <c r="D3" s="402" t="s">
        <v>95</v>
      </c>
      <c r="E3" s="402" t="s">
        <v>93</v>
      </c>
      <c r="F3" s="401" t="s">
        <v>94</v>
      </c>
      <c r="G3" s="402" t="s">
        <v>83</v>
      </c>
      <c r="H3" s="402" t="s">
        <v>84</v>
      </c>
      <c r="I3" s="402" t="s">
        <v>93</v>
      </c>
      <c r="J3" s="401" t="s">
        <v>810</v>
      </c>
      <c r="K3" s="402" t="s">
        <v>83</v>
      </c>
      <c r="L3" s="403" t="s">
        <v>809</v>
      </c>
      <c r="M3" s="402" t="s">
        <v>83</v>
      </c>
      <c r="N3" s="402" t="s">
        <v>90</v>
      </c>
      <c r="O3" s="402" t="s">
        <v>83</v>
      </c>
      <c r="P3" s="402" t="s">
        <v>84</v>
      </c>
      <c r="Q3" s="402" t="s">
        <v>83</v>
      </c>
      <c r="R3" s="402" t="s">
        <v>89</v>
      </c>
      <c r="S3" s="402" t="s">
        <v>83</v>
      </c>
      <c r="T3" s="402" t="s">
        <v>84</v>
      </c>
      <c r="U3" s="402" t="s">
        <v>83</v>
      </c>
      <c r="V3" s="402" t="s">
        <v>88</v>
      </c>
      <c r="W3" s="402" t="s">
        <v>83</v>
      </c>
      <c r="X3" s="402" t="s">
        <v>84</v>
      </c>
      <c r="Y3" s="402" t="s">
        <v>83</v>
      </c>
      <c r="Z3" s="402" t="s">
        <v>87</v>
      </c>
      <c r="AA3" s="402" t="s">
        <v>83</v>
      </c>
      <c r="AB3" s="402" t="s">
        <v>84</v>
      </c>
      <c r="AC3" s="402" t="s">
        <v>83</v>
      </c>
      <c r="AD3" s="402" t="s">
        <v>804</v>
      </c>
      <c r="AE3" s="402" t="s">
        <v>83</v>
      </c>
      <c r="AF3" s="402" t="s">
        <v>84</v>
      </c>
      <c r="AG3" s="402" t="s">
        <v>83</v>
      </c>
      <c r="AH3" s="402" t="s">
        <v>85</v>
      </c>
      <c r="AI3" s="402" t="s">
        <v>83</v>
      </c>
      <c r="AJ3" s="402" t="s">
        <v>84</v>
      </c>
      <c r="AK3" s="402" t="s">
        <v>93</v>
      </c>
      <c r="AL3" s="309" t="s">
        <v>668</v>
      </c>
      <c r="AM3" s="309" t="s">
        <v>97</v>
      </c>
    </row>
    <row r="4" spans="1:39">
      <c r="A4" s="419" t="s">
        <v>884</v>
      </c>
      <c r="B4" s="406" t="s">
        <v>914</v>
      </c>
      <c r="C4" s="406">
        <f t="shared" ref="C4:C23" si="0">IF(B4&gt;6.2,$B$30,IF(AND(B4&lt;=6.2,B4&gt;1.1),$B$29,IF(AND(B4&lt;=1.1,B4&gt;-4.8),$B$28,$B$27)))</f>
        <v>13.5</v>
      </c>
      <c r="D4" s="406">
        <v>0</v>
      </c>
      <c r="E4" s="406" t="str">
        <f t="shared" ref="E4:E23" si="1">IF(D4=0,"0","1,5")</f>
        <v>0</v>
      </c>
      <c r="F4" s="406" t="s">
        <v>913</v>
      </c>
      <c r="G4" s="406">
        <f t="shared" ref="G4:G23" si="2">IF(F4&gt;34.3,$B$36,IF(AND(F4&lt;=34.3,F4&gt;6),$B$35,IF(AND(F4&lt;=6,F4&gt;0),$B$34,$B$33)))</f>
        <v>13.5</v>
      </c>
      <c r="H4" s="406">
        <v>0</v>
      </c>
      <c r="I4" s="406" t="str">
        <f t="shared" ref="I4:I23" si="3">IF(H4=0,"0","1,5")</f>
        <v>0</v>
      </c>
      <c r="J4" s="439">
        <v>0.95809999999999995</v>
      </c>
      <c r="K4" s="423">
        <f t="shared" ref="K4:K23" si="4">IF(J4&gt;QUARTILE($J$4:$J$23,3),$B$43,IF(AND(J4&lt;=QUARTILE($J$4:$J$23,3),J4&gt;QUARTILE($J$4:$J$23,2)),$B$42,IF(AND(J4&lt;=QUARTILE($J$4:$J$23,2),J4&gt;QUARTILE($J$4:$J$23,1)),$B$41,$B$40)))</f>
        <v>5</v>
      </c>
      <c r="L4" s="440">
        <f>-18.36*(1/100)</f>
        <v>-0.18359999999999999</v>
      </c>
      <c r="M4" s="423">
        <f t="shared" ref="M4:M22" si="5">IF(L4&gt;QUARTILE($L$4:$L$23,3),$B$49,IF(AND(L4&lt;=QUARTILE($L$4:$L$23,3),L4&gt;QUARTILE($L$4:$L$23,2)),$B$48,IF(AND(L4&lt;=QUARTILE($L$4:$L$23,2),L4&gt;QUARTILE($L$4:$L$123,1)),$B$47,$B$46)))</f>
        <v>3.75</v>
      </c>
      <c r="N4" s="423">
        <v>-7.7499999999999999E-2</v>
      </c>
      <c r="O4" s="441">
        <f t="shared" ref="O4:O15" si="6">IF(N4&gt;QUARTILE($N$4:$N$23,3),$B$55,IF(AND(N4&lt;=QUARTILE($N$4:$N$23,3),N4&gt;QUARTILE($N$4:$N$23,2)),$B$54,IF(AND(N4&lt;=QUARTILE($N$4:$N$23,2),N4&gt;QUARTILE($N$4:$N$23,1)),$B$53,$B$52)))</f>
        <v>4.5</v>
      </c>
      <c r="P4" s="406">
        <v>0</v>
      </c>
      <c r="Q4" s="406" t="str">
        <f t="shared" ref="Q4:Q23" si="7">IF(P4=0,"0","0,5")</f>
        <v>0</v>
      </c>
      <c r="R4" s="422">
        <v>1.2699999999999999E-2</v>
      </c>
      <c r="S4" s="423">
        <f t="shared" ref="S4:S23" si="8">IF(R4&gt;14.22%,$B$61,IF(AND(R4&lt;=14.22%,R4&gt;5.46%),$B$60,IF(AND(R4&lt;=5.46%,R4&gt;-3.38%),$B$59,$B$58)))</f>
        <v>4.5</v>
      </c>
      <c r="T4" s="426">
        <v>1</v>
      </c>
      <c r="U4" s="422" t="str">
        <f t="shared" ref="U4:U23" si="9">IF(T4=0,"0","1")</f>
        <v>1</v>
      </c>
      <c r="V4" s="422">
        <v>7.4000000000000003E-3</v>
      </c>
      <c r="W4" s="423">
        <f t="shared" ref="W4:W23" si="10">IF(V4&gt;7.92%,$B$67,IF(AND(V4&lt;=7.92%,V4&gt;2.12%),$B$66,IF(AND(V4&lt;=2.12%,V4&gt;-8.43%),$B$65,$B$64)))</f>
        <v>6.75</v>
      </c>
      <c r="X4" s="426">
        <v>0</v>
      </c>
      <c r="Y4" s="422" t="str">
        <f t="shared" ref="Y4:Y23" si="11">IF(X4=0,"0","1,5")</f>
        <v>0</v>
      </c>
      <c r="Z4" s="422">
        <v>5.7999999999999996E-3</v>
      </c>
      <c r="AA4" s="423">
        <f t="shared" ref="AA4:AA23" si="12">IF(Z4&gt;4.91%,$B$73,IF(AND(Z4&lt;=4.91%,Z4&gt;0.77%),$B$72,IF(AND(Z4&lt;=0.77%,Z4&gt;-10.59%),$B$71,$B$70)))</f>
        <v>6.75</v>
      </c>
      <c r="AB4" s="426">
        <v>0</v>
      </c>
      <c r="AC4" s="422" t="str">
        <f t="shared" ref="AC4:AC23" si="13">IF(AB4=0,"0","1,5")</f>
        <v>0</v>
      </c>
      <c r="AD4" s="442">
        <v>1.4519</v>
      </c>
      <c r="AE4" s="441">
        <f t="shared" ref="AE4:AE23" si="14">IF(AD4&gt;QUARTILE($AD$4:$AD$23,3),$B$79,IF(AND(AD4&lt;=QUARTILE($AD$4:$AD$23,3),AD4&gt;QUARTILE($AD$4:$AD$23,2)),$B$78,IF(AND(AD4&lt;=QUARTILE($AD$4:$AD$23,2),AD4&gt;QUARTILE($AD$4:$AD$23,1)),$B$77,$B$76)))</f>
        <v>4.5</v>
      </c>
      <c r="AF4" s="406">
        <v>0</v>
      </c>
      <c r="AG4" s="406">
        <v>0</v>
      </c>
      <c r="AH4" s="429">
        <v>-0.81576831184657816</v>
      </c>
      <c r="AI4" s="441">
        <f t="shared" ref="AI4:AI23" si="15">IF(AH4&gt;QUARTILE($AH$4:$AH$23,3),$B$85,IF(AND(AH4&lt;=QUARTILE($AH$4:$AH$23,3),AH4&gt;QUARTILE($AH$4:$AH$23,2)),$B$84,IF(AND(AH4&lt;=QUARTILE($AH$4:$AH$23,2),AH4&gt;QUARTILE($AH$4:$AH$23,1)),$B$83,$B$82)))</f>
        <v>2.25</v>
      </c>
      <c r="AJ4" s="406">
        <v>1</v>
      </c>
      <c r="AK4" s="406" t="str">
        <f t="shared" ref="AK4:AK23" si="16">IF(AJ4=1,"1","0")</f>
        <v>1</v>
      </c>
      <c r="AL4" s="446">
        <f>C4+E4+G4+I4+K4+M4+O4+Q4+S4+U4+W4+Y4+AA4+AC4+AE4+AG4+AI4+AK4</f>
        <v>67</v>
      </c>
      <c r="AM4" s="437" t="s">
        <v>884</v>
      </c>
    </row>
    <row r="5" spans="1:39">
      <c r="A5" s="419" t="s">
        <v>883</v>
      </c>
      <c r="B5" s="433">
        <v>7.8</v>
      </c>
      <c r="C5" s="406">
        <f t="shared" si="0"/>
        <v>13.5</v>
      </c>
      <c r="D5" s="406">
        <v>1</v>
      </c>
      <c r="E5" s="406" t="str">
        <f t="shared" si="1"/>
        <v>1,5</v>
      </c>
      <c r="F5" s="406">
        <v>10.3</v>
      </c>
      <c r="G5" s="406">
        <f t="shared" si="2"/>
        <v>10.125</v>
      </c>
      <c r="H5" s="406">
        <v>0</v>
      </c>
      <c r="I5" s="406" t="str">
        <f t="shared" si="3"/>
        <v>0</v>
      </c>
      <c r="J5" s="439">
        <v>9.8100000000000007E-2</v>
      </c>
      <c r="K5" s="423">
        <f t="shared" si="4"/>
        <v>3.75</v>
      </c>
      <c r="L5" s="440">
        <f>152.21*(1/100)</f>
        <v>1.5221</v>
      </c>
      <c r="M5" s="423">
        <f t="shared" si="5"/>
        <v>5</v>
      </c>
      <c r="N5" s="423" t="s">
        <v>912</v>
      </c>
      <c r="O5" s="441">
        <f t="shared" si="6"/>
        <v>1.125</v>
      </c>
      <c r="P5" s="406">
        <v>0</v>
      </c>
      <c r="Q5" s="406" t="str">
        <f t="shared" si="7"/>
        <v>0</v>
      </c>
      <c r="R5" s="422">
        <v>3.6200000000000003E-2</v>
      </c>
      <c r="S5" s="423">
        <f t="shared" si="8"/>
        <v>4.5</v>
      </c>
      <c r="T5" s="426">
        <v>0</v>
      </c>
      <c r="U5" s="422" t="str">
        <f t="shared" si="9"/>
        <v>0</v>
      </c>
      <c r="V5" s="422">
        <v>2.58E-2</v>
      </c>
      <c r="W5" s="423">
        <f t="shared" si="10"/>
        <v>10.125</v>
      </c>
      <c r="X5" s="426">
        <v>0</v>
      </c>
      <c r="Y5" s="422" t="str">
        <f t="shared" si="11"/>
        <v>0</v>
      </c>
      <c r="Z5" s="422">
        <v>2.1899999999999999E-2</v>
      </c>
      <c r="AA5" s="423">
        <f t="shared" si="12"/>
        <v>10.125</v>
      </c>
      <c r="AB5" s="426">
        <v>0</v>
      </c>
      <c r="AC5" s="422" t="str">
        <f t="shared" si="13"/>
        <v>0</v>
      </c>
      <c r="AD5" s="442">
        <v>1.0381</v>
      </c>
      <c r="AE5" s="441">
        <f t="shared" si="14"/>
        <v>4.5</v>
      </c>
      <c r="AF5" s="406">
        <v>0</v>
      </c>
      <c r="AG5" s="406">
        <v>0</v>
      </c>
      <c r="AH5" s="429">
        <v>-7.0271823586847401E-2</v>
      </c>
      <c r="AI5" s="441">
        <f t="shared" si="15"/>
        <v>2.25</v>
      </c>
      <c r="AJ5" s="406">
        <v>0</v>
      </c>
      <c r="AK5" s="406" t="str">
        <f t="shared" si="16"/>
        <v>0</v>
      </c>
      <c r="AL5" s="446">
        <f t="shared" ref="AL5:AL23" si="17">C5+E5+G5+I5+K5+M5+O5+Q5+S5+U5+W5+Y5+AA5+AC5+AE5+AG5+AI5</f>
        <v>66.5</v>
      </c>
      <c r="AM5" s="437" t="s">
        <v>883</v>
      </c>
    </row>
    <row r="6" spans="1:39">
      <c r="A6" s="419" t="s">
        <v>881</v>
      </c>
      <c r="B6" s="406">
        <v>-11.15</v>
      </c>
      <c r="C6" s="406">
        <f t="shared" si="0"/>
        <v>3.375</v>
      </c>
      <c r="D6" s="406">
        <v>0</v>
      </c>
      <c r="E6" s="406" t="str">
        <f t="shared" si="1"/>
        <v>0</v>
      </c>
      <c r="F6" s="406">
        <v>-202.4</v>
      </c>
      <c r="G6" s="406">
        <f t="shared" si="2"/>
        <v>3.375</v>
      </c>
      <c r="H6" s="406">
        <v>0</v>
      </c>
      <c r="I6" s="406" t="str">
        <f t="shared" si="3"/>
        <v>0</v>
      </c>
      <c r="J6" s="439">
        <v>-0.35510000000000003</v>
      </c>
      <c r="K6" s="423">
        <f t="shared" si="4"/>
        <v>1.25</v>
      </c>
      <c r="L6" s="440">
        <f>-383.94*(1/100)</f>
        <v>-3.8393999999999999</v>
      </c>
      <c r="M6" s="423">
        <f t="shared" si="5"/>
        <v>1.25</v>
      </c>
      <c r="N6" s="443">
        <v>17.690000000000001</v>
      </c>
      <c r="O6" s="441">
        <f t="shared" si="6"/>
        <v>3.375</v>
      </c>
      <c r="P6" s="406">
        <v>1</v>
      </c>
      <c r="Q6" s="406" t="str">
        <f t="shared" si="7"/>
        <v>0,5</v>
      </c>
      <c r="R6" s="422">
        <v>-3.2099999999999997E-2</v>
      </c>
      <c r="S6" s="423">
        <f t="shared" si="8"/>
        <v>4.5</v>
      </c>
      <c r="T6" s="426">
        <v>0</v>
      </c>
      <c r="U6" s="422" t="str">
        <f t="shared" si="9"/>
        <v>0</v>
      </c>
      <c r="V6" s="422">
        <v>-2.8000000000000001E-2</v>
      </c>
      <c r="W6" s="423">
        <f t="shared" si="10"/>
        <v>6.75</v>
      </c>
      <c r="X6" s="426">
        <v>0</v>
      </c>
      <c r="Y6" s="422" t="str">
        <f t="shared" si="11"/>
        <v>0</v>
      </c>
      <c r="Z6" s="422">
        <v>-4.3799999999999999E-2</v>
      </c>
      <c r="AA6" s="423">
        <f t="shared" si="12"/>
        <v>6.75</v>
      </c>
      <c r="AB6" s="426">
        <v>0</v>
      </c>
      <c r="AC6" s="422" t="str">
        <f t="shared" si="13"/>
        <v>0</v>
      </c>
      <c r="AD6" s="442">
        <v>0.94</v>
      </c>
      <c r="AE6" s="441">
        <f t="shared" si="14"/>
        <v>1.125</v>
      </c>
      <c r="AF6" s="406">
        <v>0</v>
      </c>
      <c r="AG6" s="406">
        <v>0</v>
      </c>
      <c r="AH6" s="429">
        <v>0.32255760402302996</v>
      </c>
      <c r="AI6" s="441">
        <f t="shared" si="15"/>
        <v>9</v>
      </c>
      <c r="AJ6" s="406">
        <v>1</v>
      </c>
      <c r="AK6" s="406" t="str">
        <f t="shared" si="16"/>
        <v>1</v>
      </c>
      <c r="AL6" s="446">
        <f t="shared" si="17"/>
        <v>41.25</v>
      </c>
      <c r="AM6" s="437" t="s">
        <v>881</v>
      </c>
    </row>
    <row r="7" spans="1:39">
      <c r="A7" s="419" t="s">
        <v>873</v>
      </c>
      <c r="B7" s="406">
        <v>5.2</v>
      </c>
      <c r="C7" s="406">
        <f t="shared" si="0"/>
        <v>10.125</v>
      </c>
      <c r="D7" s="406">
        <v>1</v>
      </c>
      <c r="E7" s="406" t="str">
        <f t="shared" si="1"/>
        <v>1,5</v>
      </c>
      <c r="F7" s="406">
        <v>10.6</v>
      </c>
      <c r="G7" s="406">
        <f t="shared" si="2"/>
        <v>10.125</v>
      </c>
      <c r="H7" s="406">
        <v>1</v>
      </c>
      <c r="I7" s="406" t="str">
        <f t="shared" si="3"/>
        <v>1,5</v>
      </c>
      <c r="J7" s="439">
        <v>8.6800000000000002E-2</v>
      </c>
      <c r="K7" s="423">
        <f t="shared" si="4"/>
        <v>3.75</v>
      </c>
      <c r="L7" s="440">
        <f>-72.04*(1/100)</f>
        <v>-0.72040000000000004</v>
      </c>
      <c r="M7" s="423">
        <f t="shared" si="5"/>
        <v>1.25</v>
      </c>
      <c r="N7" s="423">
        <v>8.01</v>
      </c>
      <c r="O7" s="441">
        <f t="shared" si="6"/>
        <v>3.375</v>
      </c>
      <c r="P7" s="406">
        <v>0</v>
      </c>
      <c r="Q7" s="406" t="str">
        <f t="shared" si="7"/>
        <v>0</v>
      </c>
      <c r="R7" s="422">
        <v>9.3299999999999994E-2</v>
      </c>
      <c r="S7" s="423">
        <f t="shared" si="8"/>
        <v>6.75</v>
      </c>
      <c r="T7" s="426">
        <v>0</v>
      </c>
      <c r="U7" s="422" t="str">
        <f t="shared" si="9"/>
        <v>0</v>
      </c>
      <c r="V7" s="422">
        <v>2.5999999999999999E-2</v>
      </c>
      <c r="W7" s="423">
        <f t="shared" si="10"/>
        <v>10.125</v>
      </c>
      <c r="X7" s="426">
        <v>0</v>
      </c>
      <c r="Y7" s="422" t="str">
        <f t="shared" si="11"/>
        <v>0</v>
      </c>
      <c r="Z7" s="422">
        <v>2.1499999999999998E-2</v>
      </c>
      <c r="AA7" s="423">
        <f t="shared" si="12"/>
        <v>10.125</v>
      </c>
      <c r="AB7" s="432">
        <v>1</v>
      </c>
      <c r="AC7" s="422" t="str">
        <f t="shared" si="13"/>
        <v>1,5</v>
      </c>
      <c r="AD7" s="442">
        <v>1.03</v>
      </c>
      <c r="AE7" s="441">
        <f t="shared" si="14"/>
        <v>3.375</v>
      </c>
      <c r="AF7" s="406">
        <v>1</v>
      </c>
      <c r="AG7" s="406">
        <v>0.5</v>
      </c>
      <c r="AH7" s="429">
        <v>0.24025974433687292</v>
      </c>
      <c r="AI7" s="441">
        <f t="shared" si="15"/>
        <v>9</v>
      </c>
      <c r="AJ7" s="406">
        <v>1</v>
      </c>
      <c r="AK7" s="406" t="str">
        <f t="shared" si="16"/>
        <v>1</v>
      </c>
      <c r="AL7" s="446">
        <f t="shared" si="17"/>
        <v>73</v>
      </c>
      <c r="AM7" s="437" t="s">
        <v>873</v>
      </c>
    </row>
    <row r="8" spans="1:39">
      <c r="A8" s="419" t="s">
        <v>882</v>
      </c>
      <c r="B8" s="433">
        <v>0.8</v>
      </c>
      <c r="C8" s="406">
        <f t="shared" si="0"/>
        <v>6.75</v>
      </c>
      <c r="D8" s="433">
        <v>0</v>
      </c>
      <c r="E8" s="406" t="str">
        <f t="shared" si="1"/>
        <v>0</v>
      </c>
      <c r="F8" s="433">
        <v>0.9</v>
      </c>
      <c r="G8" s="406">
        <f t="shared" si="2"/>
        <v>6.75</v>
      </c>
      <c r="H8" s="433">
        <v>0</v>
      </c>
      <c r="I8" s="406" t="str">
        <f t="shared" si="3"/>
        <v>0</v>
      </c>
      <c r="J8" s="439">
        <v>7.2400000000000006E-2</v>
      </c>
      <c r="K8" s="423">
        <f t="shared" si="4"/>
        <v>2.5</v>
      </c>
      <c r="L8" s="440">
        <f>-50.46*(1/100)</f>
        <v>-0.50460000000000005</v>
      </c>
      <c r="M8" s="423">
        <f t="shared" si="5"/>
        <v>1.25</v>
      </c>
      <c r="N8" s="443">
        <v>20.64</v>
      </c>
      <c r="O8" s="441">
        <f t="shared" si="6"/>
        <v>3.375</v>
      </c>
      <c r="P8" s="433">
        <v>0</v>
      </c>
      <c r="Q8" s="406" t="str">
        <f t="shared" si="7"/>
        <v>0</v>
      </c>
      <c r="R8" s="434">
        <v>1.7899999999999999E-2</v>
      </c>
      <c r="S8" s="423">
        <f t="shared" si="8"/>
        <v>4.5</v>
      </c>
      <c r="T8" s="432">
        <v>1</v>
      </c>
      <c r="U8" s="422" t="str">
        <f t="shared" si="9"/>
        <v>1</v>
      </c>
      <c r="V8" s="422">
        <v>6.4999999999999997E-3</v>
      </c>
      <c r="W8" s="423">
        <f t="shared" si="10"/>
        <v>6.75</v>
      </c>
      <c r="X8" s="432">
        <v>0</v>
      </c>
      <c r="Y8" s="422" t="str">
        <f t="shared" si="11"/>
        <v>0</v>
      </c>
      <c r="Z8" s="434">
        <v>1.8E-3</v>
      </c>
      <c r="AA8" s="423">
        <f t="shared" si="12"/>
        <v>6.75</v>
      </c>
      <c r="AB8" s="432">
        <v>0</v>
      </c>
      <c r="AC8" s="422" t="str">
        <f t="shared" si="13"/>
        <v>0</v>
      </c>
      <c r="AD8" s="442">
        <v>1.01</v>
      </c>
      <c r="AE8" s="441">
        <f t="shared" si="14"/>
        <v>3.375</v>
      </c>
      <c r="AF8" s="406">
        <v>1</v>
      </c>
      <c r="AG8" s="406">
        <v>0.5</v>
      </c>
      <c r="AH8" s="429">
        <v>0.14714945793437129</v>
      </c>
      <c r="AI8" s="441">
        <f t="shared" si="15"/>
        <v>6.75</v>
      </c>
      <c r="AJ8" s="406">
        <v>0</v>
      </c>
      <c r="AK8" s="406" t="str">
        <f t="shared" si="16"/>
        <v>0</v>
      </c>
      <c r="AL8" s="446">
        <f t="shared" si="17"/>
        <v>50.25</v>
      </c>
      <c r="AM8" s="437" t="s">
        <v>882</v>
      </c>
    </row>
    <row r="9" spans="1:39">
      <c r="A9" s="419" t="s">
        <v>877</v>
      </c>
      <c r="B9" s="433">
        <v>3.8</v>
      </c>
      <c r="C9" s="406">
        <f t="shared" si="0"/>
        <v>10.125</v>
      </c>
      <c r="D9" s="406">
        <v>1</v>
      </c>
      <c r="E9" s="406" t="str">
        <f t="shared" si="1"/>
        <v>1,5</v>
      </c>
      <c r="F9" s="406" t="s">
        <v>911</v>
      </c>
      <c r="G9" s="406">
        <f t="shared" si="2"/>
        <v>13.5</v>
      </c>
      <c r="H9" s="406">
        <v>1</v>
      </c>
      <c r="I9" s="406" t="str">
        <f t="shared" si="3"/>
        <v>1,5</v>
      </c>
      <c r="J9" s="439">
        <v>4.9299999999999997E-2</v>
      </c>
      <c r="K9" s="423">
        <f t="shared" si="4"/>
        <v>2.5</v>
      </c>
      <c r="L9" s="440">
        <f>-44.59*(1/100)</f>
        <v>-0.44590000000000002</v>
      </c>
      <c r="M9" s="423">
        <f t="shared" si="5"/>
        <v>2.5</v>
      </c>
      <c r="N9" s="423">
        <v>20.64</v>
      </c>
      <c r="O9" s="441">
        <f t="shared" si="6"/>
        <v>3.375</v>
      </c>
      <c r="P9" s="406">
        <v>0</v>
      </c>
      <c r="Q9" s="406" t="str">
        <f t="shared" si="7"/>
        <v>0</v>
      </c>
      <c r="R9" s="422">
        <v>8.5000000000000006E-2</v>
      </c>
      <c r="S9" s="423">
        <f t="shared" si="8"/>
        <v>6.75</v>
      </c>
      <c r="T9" s="426">
        <v>1</v>
      </c>
      <c r="U9" s="422" t="str">
        <f t="shared" si="9"/>
        <v>1</v>
      </c>
      <c r="V9" s="422" t="s">
        <v>910</v>
      </c>
      <c r="W9" s="423">
        <f t="shared" si="10"/>
        <v>13.5</v>
      </c>
      <c r="X9" s="426">
        <v>1</v>
      </c>
      <c r="Y9" s="422" t="str">
        <f t="shared" si="11"/>
        <v>1,5</v>
      </c>
      <c r="Z9" s="422">
        <v>2.4E-2</v>
      </c>
      <c r="AA9" s="423">
        <f t="shared" si="12"/>
        <v>10.125</v>
      </c>
      <c r="AB9" s="426">
        <v>1</v>
      </c>
      <c r="AC9" s="422" t="str">
        <f t="shared" si="13"/>
        <v>1,5</v>
      </c>
      <c r="AD9" s="442">
        <v>0.95</v>
      </c>
      <c r="AE9" s="441">
        <f t="shared" si="14"/>
        <v>1.125</v>
      </c>
      <c r="AF9" s="406">
        <v>0</v>
      </c>
      <c r="AG9" s="406">
        <v>0</v>
      </c>
      <c r="AH9" s="429">
        <v>5.3577845823398175E-2</v>
      </c>
      <c r="AI9" s="441">
        <f t="shared" si="15"/>
        <v>4.5</v>
      </c>
      <c r="AJ9" s="406">
        <v>0</v>
      </c>
      <c r="AK9" s="406" t="str">
        <f t="shared" si="16"/>
        <v>0</v>
      </c>
      <c r="AL9" s="446">
        <f t="shared" si="17"/>
        <v>75</v>
      </c>
      <c r="AM9" s="437" t="s">
        <v>877</v>
      </c>
    </row>
    <row r="10" spans="1:39">
      <c r="A10" s="420" t="s">
        <v>874</v>
      </c>
      <c r="B10" s="406">
        <v>6.3</v>
      </c>
      <c r="C10" s="406">
        <f t="shared" si="0"/>
        <v>13.5</v>
      </c>
      <c r="D10" s="406">
        <v>1</v>
      </c>
      <c r="E10" s="406" t="str">
        <f t="shared" si="1"/>
        <v>1,5</v>
      </c>
      <c r="F10" s="406">
        <v>10.4</v>
      </c>
      <c r="G10" s="406">
        <f t="shared" si="2"/>
        <v>10.125</v>
      </c>
      <c r="H10" s="406">
        <v>1</v>
      </c>
      <c r="I10" s="406" t="str">
        <f t="shared" si="3"/>
        <v>1,5</v>
      </c>
      <c r="J10" s="439">
        <v>9.0300000000000005E-2</v>
      </c>
      <c r="K10" s="423">
        <f t="shared" si="4"/>
        <v>3.75</v>
      </c>
      <c r="L10" s="440">
        <f>-166.61*(1/100)</f>
        <v>-1.6661000000000001</v>
      </c>
      <c r="M10" s="423">
        <f t="shared" si="5"/>
        <v>1.25</v>
      </c>
      <c r="N10" s="423">
        <v>154.58000000000001</v>
      </c>
      <c r="O10" s="441">
        <f t="shared" si="6"/>
        <v>1.125</v>
      </c>
      <c r="P10" s="406">
        <v>0</v>
      </c>
      <c r="Q10" s="406" t="str">
        <f t="shared" si="7"/>
        <v>0</v>
      </c>
      <c r="R10" s="422" t="s">
        <v>909</v>
      </c>
      <c r="S10" s="423">
        <f t="shared" si="8"/>
        <v>9</v>
      </c>
      <c r="T10" s="426">
        <v>1</v>
      </c>
      <c r="U10" s="422" t="str">
        <f t="shared" si="9"/>
        <v>1</v>
      </c>
      <c r="V10" s="422" t="s">
        <v>908</v>
      </c>
      <c r="W10" s="423">
        <f t="shared" si="10"/>
        <v>13.5</v>
      </c>
      <c r="X10" s="426">
        <v>1</v>
      </c>
      <c r="Y10" s="422" t="str">
        <f t="shared" si="11"/>
        <v>1,5</v>
      </c>
      <c r="Z10" s="422" t="s">
        <v>907</v>
      </c>
      <c r="AA10" s="423">
        <f t="shared" si="12"/>
        <v>13.5</v>
      </c>
      <c r="AB10" s="426">
        <v>1</v>
      </c>
      <c r="AC10" s="422" t="str">
        <f t="shared" si="13"/>
        <v>1,5</v>
      </c>
      <c r="AD10" s="442">
        <v>0.79</v>
      </c>
      <c r="AE10" s="441">
        <f t="shared" si="14"/>
        <v>1.125</v>
      </c>
      <c r="AF10" s="406">
        <v>1</v>
      </c>
      <c r="AG10" s="406">
        <v>0.5</v>
      </c>
      <c r="AH10" s="429">
        <v>0.35675903242321544</v>
      </c>
      <c r="AI10" s="441">
        <f t="shared" si="15"/>
        <v>9</v>
      </c>
      <c r="AJ10" s="406">
        <v>1</v>
      </c>
      <c r="AK10" s="406" t="str">
        <f t="shared" si="16"/>
        <v>1</v>
      </c>
      <c r="AL10" s="446">
        <f t="shared" si="17"/>
        <v>83.375</v>
      </c>
      <c r="AM10" s="438" t="s">
        <v>874</v>
      </c>
    </row>
    <row r="11" spans="1:39">
      <c r="A11" s="420" t="s">
        <v>880</v>
      </c>
      <c r="B11" s="406">
        <v>0.2</v>
      </c>
      <c r="C11" s="406">
        <f t="shared" si="0"/>
        <v>6.75</v>
      </c>
      <c r="D11" s="406">
        <v>1</v>
      </c>
      <c r="E11" s="406" t="str">
        <f t="shared" si="1"/>
        <v>1,5</v>
      </c>
      <c r="F11" s="406">
        <v>1.6</v>
      </c>
      <c r="G11" s="406">
        <f t="shared" si="2"/>
        <v>6.75</v>
      </c>
      <c r="H11" s="406">
        <v>0</v>
      </c>
      <c r="I11" s="406" t="str">
        <f t="shared" si="3"/>
        <v>0</v>
      </c>
      <c r="J11" s="439">
        <v>3.9800000000000002E-2</v>
      </c>
      <c r="K11" s="423">
        <f t="shared" si="4"/>
        <v>2.5</v>
      </c>
      <c r="L11" s="440">
        <f>-4.2*(1/100)</f>
        <v>-4.2000000000000003E-2</v>
      </c>
      <c r="M11" s="423">
        <f t="shared" si="5"/>
        <v>3.75</v>
      </c>
      <c r="N11" s="443">
        <v>-14.7</v>
      </c>
      <c r="O11" s="441">
        <f t="shared" si="6"/>
        <v>4.5</v>
      </c>
      <c r="P11" s="406">
        <v>0</v>
      </c>
      <c r="Q11" s="406" t="str">
        <f t="shared" si="7"/>
        <v>0</v>
      </c>
      <c r="R11" s="422">
        <v>2.2000000000000001E-3</v>
      </c>
      <c r="S11" s="423">
        <f t="shared" si="8"/>
        <v>4.5</v>
      </c>
      <c r="T11" s="426">
        <v>0</v>
      </c>
      <c r="U11" s="422" t="str">
        <f t="shared" si="9"/>
        <v>0</v>
      </c>
      <c r="V11" s="434">
        <v>-1.6000000000000001E-3</v>
      </c>
      <c r="W11" s="423">
        <f t="shared" si="10"/>
        <v>6.75</v>
      </c>
      <c r="X11" s="426">
        <v>0</v>
      </c>
      <c r="Y11" s="422" t="str">
        <f t="shared" si="11"/>
        <v>0</v>
      </c>
      <c r="Z11" s="422">
        <v>1E-4</v>
      </c>
      <c r="AA11" s="423">
        <f t="shared" si="12"/>
        <v>6.75</v>
      </c>
      <c r="AB11" s="426">
        <v>1</v>
      </c>
      <c r="AC11" s="422" t="str">
        <f t="shared" si="13"/>
        <v>1,5</v>
      </c>
      <c r="AD11" s="442">
        <v>1</v>
      </c>
      <c r="AE11" s="441">
        <f t="shared" si="14"/>
        <v>2.25</v>
      </c>
      <c r="AF11" s="406">
        <v>0</v>
      </c>
      <c r="AG11" s="406">
        <v>0</v>
      </c>
      <c r="AH11" s="429">
        <v>0.12974544464107421</v>
      </c>
      <c r="AI11" s="441">
        <f t="shared" si="15"/>
        <v>6.75</v>
      </c>
      <c r="AJ11" s="406">
        <v>0</v>
      </c>
      <c r="AK11" s="406" t="str">
        <f t="shared" si="16"/>
        <v>0</v>
      </c>
      <c r="AL11" s="446">
        <f t="shared" si="17"/>
        <v>54.25</v>
      </c>
      <c r="AM11" s="438" t="s">
        <v>880</v>
      </c>
    </row>
    <row r="12" spans="1:39">
      <c r="A12" s="420" t="s">
        <v>866</v>
      </c>
      <c r="B12" s="433">
        <v>3</v>
      </c>
      <c r="C12" s="406">
        <f t="shared" si="0"/>
        <v>10.125</v>
      </c>
      <c r="D12" s="406">
        <v>1</v>
      </c>
      <c r="E12" s="406" t="str">
        <f t="shared" si="1"/>
        <v>1,5</v>
      </c>
      <c r="F12" s="433">
        <v>-4</v>
      </c>
      <c r="G12" s="406">
        <f t="shared" si="2"/>
        <v>3.375</v>
      </c>
      <c r="H12" s="406">
        <v>0</v>
      </c>
      <c r="I12" s="406" t="str">
        <f t="shared" si="3"/>
        <v>0</v>
      </c>
      <c r="J12" s="439">
        <v>2.3900000000000001E-2</v>
      </c>
      <c r="K12" s="423">
        <f t="shared" si="4"/>
        <v>1.25</v>
      </c>
      <c r="L12" s="440">
        <f>-60.72*(1/100)</f>
        <v>-0.60719999999999996</v>
      </c>
      <c r="M12" s="423">
        <f t="shared" si="5"/>
        <v>1.25</v>
      </c>
      <c r="N12" s="423">
        <v>63.23</v>
      </c>
      <c r="O12" s="441">
        <f t="shared" si="6"/>
        <v>1.125</v>
      </c>
      <c r="P12" s="406">
        <v>0</v>
      </c>
      <c r="Q12" s="406" t="str">
        <f t="shared" si="7"/>
        <v>0</v>
      </c>
      <c r="R12" s="422">
        <v>2.2499999999999999E-2</v>
      </c>
      <c r="S12" s="423">
        <f t="shared" si="8"/>
        <v>4.5</v>
      </c>
      <c r="T12" s="426">
        <v>0</v>
      </c>
      <c r="U12" s="422" t="str">
        <f t="shared" si="9"/>
        <v>0</v>
      </c>
      <c r="V12" s="434">
        <v>-9.5999999999999992E-3</v>
      </c>
      <c r="W12" s="423">
        <f t="shared" si="10"/>
        <v>6.75</v>
      </c>
      <c r="X12" s="426">
        <v>0</v>
      </c>
      <c r="Y12" s="422" t="str">
        <f t="shared" si="11"/>
        <v>0</v>
      </c>
      <c r="Z12" s="434">
        <v>-4.8999999999999998E-3</v>
      </c>
      <c r="AA12" s="423">
        <f t="shared" si="12"/>
        <v>6.75</v>
      </c>
      <c r="AB12" s="426">
        <v>0</v>
      </c>
      <c r="AC12" s="422" t="str">
        <f t="shared" si="13"/>
        <v>0</v>
      </c>
      <c r="AD12" s="442">
        <v>1</v>
      </c>
      <c r="AE12" s="441">
        <f t="shared" si="14"/>
        <v>2.25</v>
      </c>
      <c r="AF12" s="406">
        <v>0</v>
      </c>
      <c r="AG12" s="406">
        <v>0</v>
      </c>
      <c r="AH12" s="429">
        <v>-0.27595278403821427</v>
      </c>
      <c r="AI12" s="441">
        <f t="shared" si="15"/>
        <v>2.25</v>
      </c>
      <c r="AJ12" s="406">
        <v>0</v>
      </c>
      <c r="AK12" s="406" t="str">
        <f t="shared" si="16"/>
        <v>0</v>
      </c>
      <c r="AL12" s="446">
        <f t="shared" si="17"/>
        <v>41.125</v>
      </c>
      <c r="AM12" s="438" t="s">
        <v>866</v>
      </c>
    </row>
    <row r="13" spans="1:39">
      <c r="A13" s="420" t="s">
        <v>878</v>
      </c>
      <c r="B13" s="406">
        <v>10.1</v>
      </c>
      <c r="C13" s="406">
        <f t="shared" si="0"/>
        <v>13.5</v>
      </c>
      <c r="D13" s="406">
        <v>1</v>
      </c>
      <c r="E13" s="406" t="str">
        <f t="shared" si="1"/>
        <v>1,5</v>
      </c>
      <c r="F13" s="406">
        <v>14.3</v>
      </c>
      <c r="G13" s="406">
        <f t="shared" si="2"/>
        <v>10.125</v>
      </c>
      <c r="H13" s="406">
        <v>1</v>
      </c>
      <c r="I13" s="406" t="str">
        <f t="shared" si="3"/>
        <v>1,5</v>
      </c>
      <c r="J13" s="439">
        <v>0.31609999999999999</v>
      </c>
      <c r="K13" s="423">
        <f t="shared" si="4"/>
        <v>5</v>
      </c>
      <c r="L13" s="440">
        <f>177*(1/100)</f>
        <v>1.77</v>
      </c>
      <c r="M13" s="423">
        <f t="shared" si="5"/>
        <v>5</v>
      </c>
      <c r="N13" s="443">
        <v>-0.06</v>
      </c>
      <c r="O13" s="441">
        <f t="shared" si="6"/>
        <v>3.375</v>
      </c>
      <c r="P13" s="406">
        <v>0</v>
      </c>
      <c r="Q13" s="406" t="str">
        <f t="shared" si="7"/>
        <v>0</v>
      </c>
      <c r="R13" s="422">
        <v>0.81369999999999998</v>
      </c>
      <c r="S13" s="423">
        <f t="shared" si="8"/>
        <v>9</v>
      </c>
      <c r="T13" s="426">
        <v>1</v>
      </c>
      <c r="U13" s="422" t="str">
        <f t="shared" si="9"/>
        <v>1</v>
      </c>
      <c r="V13" s="422">
        <v>0.33700000000000002</v>
      </c>
      <c r="W13" s="423">
        <f t="shared" si="10"/>
        <v>13.5</v>
      </c>
      <c r="X13" s="426">
        <v>1</v>
      </c>
      <c r="Y13" s="422" t="str">
        <f t="shared" si="11"/>
        <v>1,5</v>
      </c>
      <c r="Z13" s="422">
        <v>0.23319999999999999</v>
      </c>
      <c r="AA13" s="423">
        <f t="shared" si="12"/>
        <v>13.5</v>
      </c>
      <c r="AB13" s="426">
        <v>1</v>
      </c>
      <c r="AC13" s="422" t="str">
        <f t="shared" si="13"/>
        <v>1,5</v>
      </c>
      <c r="AD13" s="442">
        <v>1.1599999999999999</v>
      </c>
      <c r="AE13" s="441">
        <f t="shared" si="14"/>
        <v>4.5</v>
      </c>
      <c r="AF13" s="406">
        <v>0</v>
      </c>
      <c r="AG13" s="406">
        <v>0</v>
      </c>
      <c r="AH13" s="429">
        <v>4.3321120288722703</v>
      </c>
      <c r="AI13" s="441">
        <f t="shared" si="15"/>
        <v>9</v>
      </c>
      <c r="AJ13" s="406">
        <v>1</v>
      </c>
      <c r="AK13" s="406" t="str">
        <f t="shared" si="16"/>
        <v>1</v>
      </c>
      <c r="AL13" s="446">
        <f t="shared" si="17"/>
        <v>93.5</v>
      </c>
      <c r="AM13" s="438" t="s">
        <v>878</v>
      </c>
    </row>
    <row r="14" spans="1:39">
      <c r="A14" s="420" t="s">
        <v>876</v>
      </c>
      <c r="B14" s="406">
        <v>-5.7</v>
      </c>
      <c r="C14" s="406">
        <f t="shared" si="0"/>
        <v>3.375</v>
      </c>
      <c r="D14" s="406">
        <v>0</v>
      </c>
      <c r="E14" s="406" t="str">
        <f t="shared" si="1"/>
        <v>0</v>
      </c>
      <c r="F14" s="406">
        <v>-11.3</v>
      </c>
      <c r="G14" s="406">
        <f t="shared" si="2"/>
        <v>3.375</v>
      </c>
      <c r="H14" s="406">
        <v>0</v>
      </c>
      <c r="I14" s="406" t="str">
        <f t="shared" si="3"/>
        <v>0</v>
      </c>
      <c r="J14" s="439">
        <v>-0.63619999999999999</v>
      </c>
      <c r="K14" s="423">
        <f t="shared" si="4"/>
        <v>1.25</v>
      </c>
      <c r="L14" s="440">
        <f>11.29*(1/100)</f>
        <v>0.1129</v>
      </c>
      <c r="M14" s="423">
        <f t="shared" si="5"/>
        <v>5</v>
      </c>
      <c r="N14" s="423">
        <v>24.75</v>
      </c>
      <c r="O14" s="441">
        <f t="shared" si="6"/>
        <v>2.25</v>
      </c>
      <c r="P14" s="406">
        <v>1</v>
      </c>
      <c r="Q14" s="406" t="str">
        <f t="shared" si="7"/>
        <v>0,5</v>
      </c>
      <c r="R14" s="422" t="s">
        <v>906</v>
      </c>
      <c r="S14" s="423">
        <f t="shared" si="8"/>
        <v>9</v>
      </c>
      <c r="T14" s="426">
        <v>0</v>
      </c>
      <c r="U14" s="422" t="str">
        <f t="shared" si="9"/>
        <v>0</v>
      </c>
      <c r="V14" s="422">
        <v>-7.1599999999999997E-2</v>
      </c>
      <c r="W14" s="423">
        <f t="shared" si="10"/>
        <v>6.75</v>
      </c>
      <c r="X14" s="426">
        <v>0</v>
      </c>
      <c r="Y14" s="422" t="str">
        <f t="shared" si="11"/>
        <v>0</v>
      </c>
      <c r="Z14" s="422">
        <v>-6.1800000000000001E-2</v>
      </c>
      <c r="AA14" s="423">
        <f t="shared" si="12"/>
        <v>6.75</v>
      </c>
      <c r="AB14" s="426">
        <v>0</v>
      </c>
      <c r="AC14" s="422" t="str">
        <f t="shared" si="13"/>
        <v>0</v>
      </c>
      <c r="AD14" s="442">
        <v>1.1399999999999999</v>
      </c>
      <c r="AE14" s="441">
        <f t="shared" si="14"/>
        <v>4.5</v>
      </c>
      <c r="AF14" s="406">
        <v>0</v>
      </c>
      <c r="AG14" s="406">
        <v>0</v>
      </c>
      <c r="AH14" s="429">
        <v>0.10018130841121495</v>
      </c>
      <c r="AI14" s="441">
        <f t="shared" si="15"/>
        <v>4.5</v>
      </c>
      <c r="AJ14" s="406">
        <v>0</v>
      </c>
      <c r="AK14" s="406" t="str">
        <f t="shared" si="16"/>
        <v>0</v>
      </c>
      <c r="AL14" s="446">
        <f t="shared" si="17"/>
        <v>47.25</v>
      </c>
      <c r="AM14" s="438" t="s">
        <v>876</v>
      </c>
    </row>
    <row r="15" spans="1:39">
      <c r="A15" s="420" t="s">
        <v>875</v>
      </c>
      <c r="B15" s="406">
        <v>-2.6</v>
      </c>
      <c r="C15" s="406">
        <f t="shared" si="0"/>
        <v>6.75</v>
      </c>
      <c r="D15" s="406">
        <v>0</v>
      </c>
      <c r="E15" s="406" t="str">
        <f t="shared" si="1"/>
        <v>0</v>
      </c>
      <c r="F15" s="406">
        <v>-3.2</v>
      </c>
      <c r="G15" s="406">
        <f t="shared" si="2"/>
        <v>3.375</v>
      </c>
      <c r="H15" s="406">
        <v>0</v>
      </c>
      <c r="I15" s="406" t="str">
        <f t="shared" si="3"/>
        <v>0</v>
      </c>
      <c r="J15" s="439">
        <v>8.3000000000000001E-3</v>
      </c>
      <c r="K15" s="423">
        <f t="shared" si="4"/>
        <v>1.25</v>
      </c>
      <c r="L15" s="440">
        <f>-41.42*(1/100)</f>
        <v>-0.41420000000000001</v>
      </c>
      <c r="M15" s="423">
        <f t="shared" si="5"/>
        <v>3.75</v>
      </c>
      <c r="N15" s="423">
        <v>124.55</v>
      </c>
      <c r="O15" s="441">
        <f t="shared" si="6"/>
        <v>1.125</v>
      </c>
      <c r="P15" s="406">
        <v>0</v>
      </c>
      <c r="Q15" s="406" t="str">
        <f t="shared" si="7"/>
        <v>0</v>
      </c>
      <c r="R15" s="422">
        <v>-2E-3</v>
      </c>
      <c r="S15" s="423">
        <f t="shared" si="8"/>
        <v>4.5</v>
      </c>
      <c r="T15" s="426">
        <v>0</v>
      </c>
      <c r="U15" s="422" t="str">
        <f t="shared" si="9"/>
        <v>0</v>
      </c>
      <c r="V15" s="422">
        <v>-4.9500000000000002E-2</v>
      </c>
      <c r="W15" s="423">
        <f t="shared" si="10"/>
        <v>6.75</v>
      </c>
      <c r="X15" s="426">
        <v>0</v>
      </c>
      <c r="Y15" s="422" t="str">
        <f t="shared" si="11"/>
        <v>0</v>
      </c>
      <c r="Z15" s="422">
        <v>-3.2099999999999997E-2</v>
      </c>
      <c r="AA15" s="423">
        <f t="shared" si="12"/>
        <v>6.75</v>
      </c>
      <c r="AB15" s="426">
        <v>0</v>
      </c>
      <c r="AC15" s="422" t="str">
        <f t="shared" si="13"/>
        <v>0</v>
      </c>
      <c r="AD15" s="442">
        <v>0.94</v>
      </c>
      <c r="AE15" s="441">
        <f t="shared" si="14"/>
        <v>1.125</v>
      </c>
      <c r="AF15" s="406">
        <v>0</v>
      </c>
      <c r="AG15" s="406">
        <v>0</v>
      </c>
      <c r="AH15" s="429">
        <v>3.8748089608778E-2</v>
      </c>
      <c r="AI15" s="441">
        <f t="shared" si="15"/>
        <v>4.5</v>
      </c>
      <c r="AJ15" s="406">
        <v>0</v>
      </c>
      <c r="AK15" s="406" t="str">
        <f t="shared" si="16"/>
        <v>0</v>
      </c>
      <c r="AL15" s="446">
        <f t="shared" si="17"/>
        <v>39.875</v>
      </c>
      <c r="AM15" s="438" t="s">
        <v>875</v>
      </c>
    </row>
    <row r="16" spans="1:39">
      <c r="A16" s="420" t="s">
        <v>869</v>
      </c>
      <c r="B16" s="433">
        <v>-10.9</v>
      </c>
      <c r="C16" s="406">
        <f t="shared" si="0"/>
        <v>3.375</v>
      </c>
      <c r="D16" s="406">
        <v>1</v>
      </c>
      <c r="E16" s="406" t="str">
        <f t="shared" si="1"/>
        <v>1,5</v>
      </c>
      <c r="F16" s="406">
        <v>-3.81</v>
      </c>
      <c r="G16" s="406">
        <f t="shared" si="2"/>
        <v>3.375</v>
      </c>
      <c r="H16" s="406">
        <v>1</v>
      </c>
      <c r="I16" s="406" t="str">
        <f t="shared" si="3"/>
        <v>1,5</v>
      </c>
      <c r="J16" s="439">
        <v>0.1741</v>
      </c>
      <c r="K16" s="423">
        <f t="shared" si="4"/>
        <v>5</v>
      </c>
      <c r="L16" s="440">
        <f>-44.6*(1/100)</f>
        <v>-0.44600000000000001</v>
      </c>
      <c r="M16" s="423">
        <f t="shared" si="5"/>
        <v>2.5</v>
      </c>
      <c r="N16" s="423">
        <v>53.59</v>
      </c>
      <c r="O16" s="444">
        <v>3.375</v>
      </c>
      <c r="P16" s="406">
        <v>1</v>
      </c>
      <c r="Q16" s="406" t="str">
        <f t="shared" si="7"/>
        <v>0,5</v>
      </c>
      <c r="R16" s="434">
        <v>1.1299999999999999E-2</v>
      </c>
      <c r="S16" s="423">
        <f t="shared" si="8"/>
        <v>4.5</v>
      </c>
      <c r="T16" s="426">
        <v>1</v>
      </c>
      <c r="U16" s="422" t="str">
        <f t="shared" si="9"/>
        <v>1</v>
      </c>
      <c r="V16" s="434">
        <v>-3.8100000000000002E-2</v>
      </c>
      <c r="W16" s="423">
        <f t="shared" si="10"/>
        <v>6.75</v>
      </c>
      <c r="X16" s="426">
        <v>1</v>
      </c>
      <c r="Y16" s="422" t="str">
        <f t="shared" si="11"/>
        <v>1,5</v>
      </c>
      <c r="Z16" s="434">
        <v>-5.4699999999999999E-2</v>
      </c>
      <c r="AA16" s="423">
        <f t="shared" si="12"/>
        <v>6.75</v>
      </c>
      <c r="AB16" s="426">
        <v>1</v>
      </c>
      <c r="AC16" s="422" t="str">
        <f t="shared" si="13"/>
        <v>1,5</v>
      </c>
      <c r="AD16" s="442">
        <v>0.88</v>
      </c>
      <c r="AE16" s="441">
        <f t="shared" si="14"/>
        <v>1.125</v>
      </c>
      <c r="AF16" s="406">
        <v>0</v>
      </c>
      <c r="AG16" s="406">
        <v>0</v>
      </c>
      <c r="AH16" s="429">
        <v>3.8381186411450254E-2</v>
      </c>
      <c r="AI16" s="441">
        <f t="shared" si="15"/>
        <v>4.5</v>
      </c>
      <c r="AJ16" s="406">
        <v>0</v>
      </c>
      <c r="AK16" s="406" t="str">
        <f t="shared" si="16"/>
        <v>0</v>
      </c>
      <c r="AL16" s="446">
        <f t="shared" si="17"/>
        <v>48.75</v>
      </c>
      <c r="AM16" s="438" t="s">
        <v>869</v>
      </c>
    </row>
    <row r="17" spans="1:39">
      <c r="A17" s="420" t="s">
        <v>871</v>
      </c>
      <c r="B17" s="406">
        <v>0.1</v>
      </c>
      <c r="C17" s="406">
        <f t="shared" si="0"/>
        <v>6.75</v>
      </c>
      <c r="D17" s="406">
        <v>0</v>
      </c>
      <c r="E17" s="406" t="str">
        <f t="shared" si="1"/>
        <v>0</v>
      </c>
      <c r="F17" s="406">
        <v>0</v>
      </c>
      <c r="G17" s="406">
        <f t="shared" si="2"/>
        <v>3.375</v>
      </c>
      <c r="H17" s="406">
        <v>0</v>
      </c>
      <c r="I17" s="406" t="str">
        <f t="shared" si="3"/>
        <v>0</v>
      </c>
      <c r="J17" s="439">
        <v>180.71109999999999</v>
      </c>
      <c r="K17" s="423">
        <f t="shared" si="4"/>
        <v>5</v>
      </c>
      <c r="L17" s="440">
        <f>0*(1/100)</f>
        <v>0</v>
      </c>
      <c r="M17" s="423">
        <f t="shared" si="5"/>
        <v>3.75</v>
      </c>
      <c r="N17" s="443">
        <v>-83.57</v>
      </c>
      <c r="O17" s="441">
        <f t="shared" ref="O17:O23" si="18">IF(N17&gt;QUARTILE($N$4:$N$23,3),$B$55,IF(AND(N17&lt;=QUARTILE($N$4:$N$23,3),N17&gt;QUARTILE($N$4:$N$23,2)),$B$54,IF(AND(N17&lt;=QUARTILE($N$4:$N$23,2),N17&gt;QUARTILE($N$4:$N$23,1)),$B$53,$B$52)))</f>
        <v>4.5</v>
      </c>
      <c r="P17" s="406">
        <v>1</v>
      </c>
      <c r="Q17" s="406" t="str">
        <f t="shared" si="7"/>
        <v>0,5</v>
      </c>
      <c r="R17" s="422">
        <v>2.9999999999999997E-4</v>
      </c>
      <c r="S17" s="423">
        <f t="shared" si="8"/>
        <v>4.5</v>
      </c>
      <c r="T17" s="426">
        <v>0</v>
      </c>
      <c r="U17" s="422" t="str">
        <f t="shared" si="9"/>
        <v>0</v>
      </c>
      <c r="V17" s="422">
        <v>2.2700000000000001E-2</v>
      </c>
      <c r="W17" s="423">
        <f t="shared" si="10"/>
        <v>10.125</v>
      </c>
      <c r="X17" s="426">
        <v>0</v>
      </c>
      <c r="Y17" s="422" t="str">
        <f t="shared" si="11"/>
        <v>0</v>
      </c>
      <c r="Z17" s="422">
        <v>0</v>
      </c>
      <c r="AA17" s="423">
        <f t="shared" si="12"/>
        <v>6.75</v>
      </c>
      <c r="AB17" s="426">
        <v>0</v>
      </c>
      <c r="AC17" s="422" t="str">
        <f t="shared" si="13"/>
        <v>0</v>
      </c>
      <c r="AD17" s="442">
        <v>1.03</v>
      </c>
      <c r="AE17" s="441">
        <f t="shared" si="14"/>
        <v>3.375</v>
      </c>
      <c r="AF17" s="406">
        <v>1</v>
      </c>
      <c r="AG17" s="406">
        <v>0.5</v>
      </c>
      <c r="AH17" s="429">
        <v>0.13747334156114863</v>
      </c>
      <c r="AI17" s="441">
        <f t="shared" si="15"/>
        <v>6.75</v>
      </c>
      <c r="AJ17" s="406">
        <v>1</v>
      </c>
      <c r="AK17" s="406" t="str">
        <f t="shared" si="16"/>
        <v>1</v>
      </c>
      <c r="AL17" s="446">
        <f t="shared" si="17"/>
        <v>55.875</v>
      </c>
      <c r="AM17" s="438" t="s">
        <v>871</v>
      </c>
    </row>
    <row r="18" spans="1:39">
      <c r="A18" s="419" t="s">
        <v>864</v>
      </c>
      <c r="B18" s="433">
        <v>-3.7</v>
      </c>
      <c r="C18" s="406">
        <f t="shared" si="0"/>
        <v>6.75</v>
      </c>
      <c r="D18" s="406">
        <v>0</v>
      </c>
      <c r="E18" s="406" t="str">
        <f t="shared" si="1"/>
        <v>0</v>
      </c>
      <c r="F18" s="433">
        <v>-54.5</v>
      </c>
      <c r="G18" s="406">
        <f t="shared" si="2"/>
        <v>3.375</v>
      </c>
      <c r="H18" s="406">
        <v>0</v>
      </c>
      <c r="I18" s="406" t="str">
        <f t="shared" si="3"/>
        <v>0</v>
      </c>
      <c r="J18" s="439">
        <v>-0.1172</v>
      </c>
      <c r="K18" s="423">
        <f t="shared" si="4"/>
        <v>1.25</v>
      </c>
      <c r="L18" s="440">
        <f>-102.15*(1/100)</f>
        <v>-1.0215000000000001</v>
      </c>
      <c r="M18" s="423">
        <f t="shared" si="5"/>
        <v>1.25</v>
      </c>
      <c r="N18" s="423">
        <v>-15.69</v>
      </c>
      <c r="O18" s="441">
        <f t="shared" si="18"/>
        <v>4.5</v>
      </c>
      <c r="P18" s="406">
        <v>0</v>
      </c>
      <c r="Q18" s="406" t="str">
        <f t="shared" si="7"/>
        <v>0</v>
      </c>
      <c r="R18" s="422">
        <v>5.9999999999999995E-4</v>
      </c>
      <c r="S18" s="423">
        <f t="shared" si="8"/>
        <v>4.5</v>
      </c>
      <c r="T18" s="426">
        <v>0</v>
      </c>
      <c r="U18" s="422" t="str">
        <f t="shared" si="9"/>
        <v>0</v>
      </c>
      <c r="V18" s="434">
        <v>-1.7000000000000001E-2</v>
      </c>
      <c r="W18" s="423">
        <f t="shared" si="10"/>
        <v>6.75</v>
      </c>
      <c r="X18" s="426">
        <v>0</v>
      </c>
      <c r="Y18" s="422" t="str">
        <f t="shared" si="11"/>
        <v>0</v>
      </c>
      <c r="Z18" s="434">
        <v>-4.1599999999999998E-2</v>
      </c>
      <c r="AA18" s="423">
        <f t="shared" si="12"/>
        <v>6.75</v>
      </c>
      <c r="AB18" s="426">
        <v>0</v>
      </c>
      <c r="AC18" s="422" t="str">
        <f t="shared" si="13"/>
        <v>0</v>
      </c>
      <c r="AD18" s="442">
        <v>0.99</v>
      </c>
      <c r="AE18" s="441">
        <f t="shared" si="14"/>
        <v>2.25</v>
      </c>
      <c r="AF18" s="406">
        <v>1</v>
      </c>
      <c r="AG18" s="406">
        <v>0.5</v>
      </c>
      <c r="AH18" s="429">
        <v>0.19416652243952445</v>
      </c>
      <c r="AI18" s="441">
        <f t="shared" si="15"/>
        <v>9</v>
      </c>
      <c r="AJ18" s="406">
        <v>1</v>
      </c>
      <c r="AK18" s="406" t="str">
        <f t="shared" si="16"/>
        <v>1</v>
      </c>
      <c r="AL18" s="446">
        <f t="shared" si="17"/>
        <v>46.875</v>
      </c>
      <c r="AM18" s="437" t="s">
        <v>864</v>
      </c>
    </row>
    <row r="19" spans="1:39">
      <c r="A19" s="419" t="s">
        <v>872</v>
      </c>
      <c r="B19" s="433">
        <v>-3.6</v>
      </c>
      <c r="C19" s="406">
        <f t="shared" si="0"/>
        <v>6.75</v>
      </c>
      <c r="D19" s="433">
        <v>1</v>
      </c>
      <c r="E19" s="406" t="str">
        <f t="shared" si="1"/>
        <v>1,5</v>
      </c>
      <c r="F19" s="406">
        <v>31.1</v>
      </c>
      <c r="G19" s="406">
        <f t="shared" si="2"/>
        <v>10.125</v>
      </c>
      <c r="H19" s="406">
        <v>0</v>
      </c>
      <c r="I19" s="406" t="str">
        <f t="shared" si="3"/>
        <v>0</v>
      </c>
      <c r="J19" s="439">
        <v>0.27160000000000001</v>
      </c>
      <c r="K19" s="423">
        <f t="shared" si="4"/>
        <v>5</v>
      </c>
      <c r="L19" s="440">
        <f>-417.62*(1/100)</f>
        <v>-4.1761999999999997</v>
      </c>
      <c r="M19" s="423">
        <f t="shared" si="5"/>
        <v>1.25</v>
      </c>
      <c r="N19" s="423">
        <v>27.74</v>
      </c>
      <c r="O19" s="441">
        <f t="shared" si="18"/>
        <v>2.25</v>
      </c>
      <c r="P19" s="406">
        <v>0</v>
      </c>
      <c r="Q19" s="406" t="str">
        <f t="shared" si="7"/>
        <v>0</v>
      </c>
      <c r="R19" s="422">
        <v>6.3E-3</v>
      </c>
      <c r="S19" s="423">
        <f t="shared" si="8"/>
        <v>4.5</v>
      </c>
      <c r="T19" s="406">
        <v>1</v>
      </c>
      <c r="U19" s="422" t="str">
        <f t="shared" si="9"/>
        <v>1</v>
      </c>
      <c r="V19" s="422">
        <v>-1.35E-2</v>
      </c>
      <c r="W19" s="423">
        <f t="shared" si="10"/>
        <v>6.75</v>
      </c>
      <c r="X19" s="406">
        <v>1</v>
      </c>
      <c r="Y19" s="422" t="str">
        <f t="shared" si="11"/>
        <v>1,5</v>
      </c>
      <c r="Z19" s="434">
        <v>-2.29E-2</v>
      </c>
      <c r="AA19" s="423">
        <f t="shared" si="12"/>
        <v>6.75</v>
      </c>
      <c r="AB19" s="406">
        <v>0</v>
      </c>
      <c r="AC19" s="422" t="str">
        <f t="shared" si="13"/>
        <v>0</v>
      </c>
      <c r="AD19" s="442">
        <v>0.99</v>
      </c>
      <c r="AE19" s="441">
        <f t="shared" si="14"/>
        <v>2.25</v>
      </c>
      <c r="AF19" s="406">
        <v>1</v>
      </c>
      <c r="AG19" s="406">
        <v>0.5</v>
      </c>
      <c r="AH19" s="429">
        <v>6.515441445899349E-2</v>
      </c>
      <c r="AI19" s="441">
        <f t="shared" si="15"/>
        <v>4.5</v>
      </c>
      <c r="AJ19" s="406">
        <v>0</v>
      </c>
      <c r="AK19" s="406" t="str">
        <f t="shared" si="16"/>
        <v>0</v>
      </c>
      <c r="AL19" s="446">
        <f t="shared" si="17"/>
        <v>54.625</v>
      </c>
      <c r="AM19" s="437" t="s">
        <v>872</v>
      </c>
    </row>
    <row r="20" spans="1:39">
      <c r="A20" s="420" t="s">
        <v>870</v>
      </c>
      <c r="B20" s="406">
        <v>11.6</v>
      </c>
      <c r="C20" s="406">
        <f t="shared" si="0"/>
        <v>13.5</v>
      </c>
      <c r="D20" s="406">
        <v>0</v>
      </c>
      <c r="E20" s="406" t="str">
        <f t="shared" si="1"/>
        <v>0</v>
      </c>
      <c r="F20" s="406">
        <v>18.899999999999999</v>
      </c>
      <c r="G20" s="406">
        <f t="shared" si="2"/>
        <v>10.125</v>
      </c>
      <c r="H20" s="406">
        <v>0</v>
      </c>
      <c r="I20" s="406" t="str">
        <f t="shared" si="3"/>
        <v>0</v>
      </c>
      <c r="J20" s="439">
        <v>0.16900000000000001</v>
      </c>
      <c r="K20" s="423">
        <f t="shared" si="4"/>
        <v>3.75</v>
      </c>
      <c r="L20" s="440">
        <f>6.83*(1/100)</f>
        <v>6.83E-2</v>
      </c>
      <c r="M20" s="423">
        <f t="shared" si="5"/>
        <v>5</v>
      </c>
      <c r="N20" s="423">
        <v>94.14</v>
      </c>
      <c r="O20" s="441">
        <f t="shared" si="18"/>
        <v>1.125</v>
      </c>
      <c r="P20" s="406">
        <v>1</v>
      </c>
      <c r="Q20" s="406" t="str">
        <f t="shared" si="7"/>
        <v>0,5</v>
      </c>
      <c r="R20" s="422">
        <v>0.23730000000000001</v>
      </c>
      <c r="S20" s="423">
        <f t="shared" si="8"/>
        <v>9</v>
      </c>
      <c r="T20" s="406">
        <v>0</v>
      </c>
      <c r="U20" s="422" t="str">
        <f t="shared" si="9"/>
        <v>0</v>
      </c>
      <c r="V20" s="422">
        <v>9.7799999999999998E-2</v>
      </c>
      <c r="W20" s="423">
        <f t="shared" si="10"/>
        <v>13.5</v>
      </c>
      <c r="X20" s="406">
        <v>1</v>
      </c>
      <c r="Y20" s="422" t="str">
        <f t="shared" si="11"/>
        <v>1,5</v>
      </c>
      <c r="Z20" s="422">
        <v>0.1211</v>
      </c>
      <c r="AA20" s="423">
        <f t="shared" si="12"/>
        <v>13.5</v>
      </c>
      <c r="AB20" s="406">
        <v>0</v>
      </c>
      <c r="AC20" s="422" t="str">
        <f t="shared" si="13"/>
        <v>0</v>
      </c>
      <c r="AD20" s="442">
        <v>1.22</v>
      </c>
      <c r="AE20" s="441">
        <f t="shared" si="14"/>
        <v>4.5</v>
      </c>
      <c r="AF20" s="406">
        <v>1</v>
      </c>
      <c r="AG20" s="406">
        <v>0.5</v>
      </c>
      <c r="AH20" s="429">
        <v>0.18610777136762499</v>
      </c>
      <c r="AI20" s="441">
        <f t="shared" si="15"/>
        <v>6.75</v>
      </c>
      <c r="AJ20" s="406">
        <v>1</v>
      </c>
      <c r="AK20" s="406" t="str">
        <f t="shared" si="16"/>
        <v>1</v>
      </c>
      <c r="AL20" s="446">
        <f t="shared" si="17"/>
        <v>83.25</v>
      </c>
      <c r="AM20" s="438" t="s">
        <v>870</v>
      </c>
    </row>
    <row r="21" spans="1:39">
      <c r="A21" s="420" t="s">
        <v>868</v>
      </c>
      <c r="B21" s="406">
        <v>5.8</v>
      </c>
      <c r="C21" s="406">
        <f t="shared" si="0"/>
        <v>10.125</v>
      </c>
      <c r="D21" s="406">
        <v>0</v>
      </c>
      <c r="E21" s="406" t="str">
        <f t="shared" si="1"/>
        <v>0</v>
      </c>
      <c r="F21" s="406">
        <v>11.3</v>
      </c>
      <c r="G21" s="406">
        <f t="shared" si="2"/>
        <v>10.125</v>
      </c>
      <c r="H21" s="406">
        <v>0</v>
      </c>
      <c r="I21" s="406" t="str">
        <f t="shared" si="3"/>
        <v>0</v>
      </c>
      <c r="J21" s="439">
        <v>0.1404</v>
      </c>
      <c r="K21" s="423">
        <f t="shared" si="4"/>
        <v>3.75</v>
      </c>
      <c r="L21" s="440">
        <f>9.54*(1/100)</f>
        <v>9.5399999999999999E-2</v>
      </c>
      <c r="M21" s="423">
        <f t="shared" si="5"/>
        <v>5</v>
      </c>
      <c r="N21" s="443">
        <v>-0.2</v>
      </c>
      <c r="O21" s="441">
        <f t="shared" si="18"/>
        <v>4.5</v>
      </c>
      <c r="P21" s="406">
        <v>0</v>
      </c>
      <c r="Q21" s="406" t="str">
        <f t="shared" si="7"/>
        <v>0</v>
      </c>
      <c r="R21" s="422">
        <v>2.7699999999999999E-2</v>
      </c>
      <c r="S21" s="423">
        <f t="shared" si="8"/>
        <v>4.5</v>
      </c>
      <c r="T21" s="406">
        <v>1</v>
      </c>
      <c r="U21" s="422" t="str">
        <f t="shared" si="9"/>
        <v>1</v>
      </c>
      <c r="V21" s="422">
        <v>3.2199999999999999E-2</v>
      </c>
      <c r="W21" s="423">
        <f t="shared" si="10"/>
        <v>10.125</v>
      </c>
      <c r="X21" s="406">
        <v>1</v>
      </c>
      <c r="Y21" s="422" t="str">
        <f t="shared" si="11"/>
        <v>1,5</v>
      </c>
      <c r="Z21" s="422">
        <v>2.7699999999999999E-2</v>
      </c>
      <c r="AA21" s="423">
        <f t="shared" si="12"/>
        <v>10.125</v>
      </c>
      <c r="AB21" s="406">
        <v>1</v>
      </c>
      <c r="AC21" s="422" t="str">
        <f t="shared" si="13"/>
        <v>1,5</v>
      </c>
      <c r="AD21" s="442">
        <v>1</v>
      </c>
      <c r="AE21" s="441">
        <f t="shared" si="14"/>
        <v>2.25</v>
      </c>
      <c r="AF21" s="406">
        <v>0</v>
      </c>
      <c r="AG21" s="406">
        <v>0</v>
      </c>
      <c r="AH21" s="429">
        <v>0.16115317811396401</v>
      </c>
      <c r="AI21" s="441">
        <f t="shared" si="15"/>
        <v>6.75</v>
      </c>
      <c r="AJ21" s="406">
        <v>0</v>
      </c>
      <c r="AK21" s="406" t="str">
        <f t="shared" si="16"/>
        <v>0</v>
      </c>
      <c r="AL21" s="446">
        <f t="shared" si="17"/>
        <v>71.25</v>
      </c>
      <c r="AM21" s="438" t="s">
        <v>868</v>
      </c>
    </row>
    <row r="22" spans="1:39">
      <c r="A22" s="420" t="s">
        <v>867</v>
      </c>
      <c r="B22" s="406">
        <v>2</v>
      </c>
      <c r="C22" s="406">
        <f t="shared" si="0"/>
        <v>10.125</v>
      </c>
      <c r="D22" s="406">
        <v>0</v>
      </c>
      <c r="E22" s="406" t="str">
        <f t="shared" si="1"/>
        <v>0</v>
      </c>
      <c r="F22" s="406">
        <v>1.5</v>
      </c>
      <c r="G22" s="406">
        <f t="shared" si="2"/>
        <v>6.75</v>
      </c>
      <c r="H22" s="406">
        <v>0</v>
      </c>
      <c r="I22" s="406" t="str">
        <f t="shared" si="3"/>
        <v>0</v>
      </c>
      <c r="J22" s="439">
        <v>4.53E-2</v>
      </c>
      <c r="K22" s="423">
        <f t="shared" si="4"/>
        <v>2.5</v>
      </c>
      <c r="L22" s="440">
        <f>-36.93*(1/100)</f>
        <v>-0.36930000000000002</v>
      </c>
      <c r="M22" s="423">
        <f t="shared" si="5"/>
        <v>3.75</v>
      </c>
      <c r="N22" s="423">
        <v>26.82</v>
      </c>
      <c r="O22" s="441">
        <f t="shared" si="18"/>
        <v>2.25</v>
      </c>
      <c r="P22" s="406">
        <v>0</v>
      </c>
      <c r="Q22" s="406" t="str">
        <f t="shared" si="7"/>
        <v>0</v>
      </c>
      <c r="R22" s="422">
        <v>1.7000000000000001E-2</v>
      </c>
      <c r="S22" s="423">
        <f t="shared" si="8"/>
        <v>4.5</v>
      </c>
      <c r="T22" s="406">
        <v>0</v>
      </c>
      <c r="U22" s="422" t="str">
        <f t="shared" si="9"/>
        <v>0</v>
      </c>
      <c r="V22" s="422">
        <v>5.9999999999999995E-4</v>
      </c>
      <c r="W22" s="423">
        <f t="shared" si="10"/>
        <v>6.75</v>
      </c>
      <c r="X22" s="406">
        <v>0</v>
      </c>
      <c r="Y22" s="422" t="str">
        <f t="shared" si="11"/>
        <v>0</v>
      </c>
      <c r="Z22" s="422">
        <v>2.7000000000000001E-3</v>
      </c>
      <c r="AA22" s="423">
        <f t="shared" si="12"/>
        <v>6.75</v>
      </c>
      <c r="AB22" s="406">
        <v>0</v>
      </c>
      <c r="AC22" s="422" t="str">
        <f t="shared" si="13"/>
        <v>0</v>
      </c>
      <c r="AD22" s="442">
        <v>1.03</v>
      </c>
      <c r="AE22" s="441">
        <f t="shared" si="14"/>
        <v>3.375</v>
      </c>
      <c r="AF22" s="406">
        <v>0</v>
      </c>
      <c r="AG22" s="406">
        <v>0</v>
      </c>
      <c r="AH22" s="429">
        <v>-5.6328831463824926E-2</v>
      </c>
      <c r="AI22" s="441">
        <f t="shared" si="15"/>
        <v>2.25</v>
      </c>
      <c r="AJ22" s="406">
        <v>0</v>
      </c>
      <c r="AK22" s="406" t="str">
        <f t="shared" si="16"/>
        <v>0</v>
      </c>
      <c r="AL22" s="446">
        <f t="shared" si="17"/>
        <v>49</v>
      </c>
      <c r="AM22" s="438" t="s">
        <v>867</v>
      </c>
    </row>
    <row r="23" spans="1:39">
      <c r="A23" s="420" t="s">
        <v>865</v>
      </c>
      <c r="B23" s="406">
        <v>1.6</v>
      </c>
      <c r="C23" s="406">
        <f t="shared" si="0"/>
        <v>10.125</v>
      </c>
      <c r="D23" s="406">
        <v>1</v>
      </c>
      <c r="E23" s="406" t="str">
        <f t="shared" si="1"/>
        <v>1,5</v>
      </c>
      <c r="F23" s="433">
        <v>-1.2</v>
      </c>
      <c r="G23" s="406">
        <f t="shared" si="2"/>
        <v>3.375</v>
      </c>
      <c r="H23" s="406">
        <v>1</v>
      </c>
      <c r="I23" s="406" t="str">
        <f t="shared" si="3"/>
        <v>1,5</v>
      </c>
      <c r="J23" s="439">
        <v>7.2900000000000006E-2</v>
      </c>
      <c r="K23" s="423">
        <f t="shared" si="4"/>
        <v>2.5</v>
      </c>
      <c r="L23" s="440">
        <f>-58.79*(1/100)</f>
        <v>-0.58789999999999998</v>
      </c>
      <c r="M23" s="424">
        <v>2.5</v>
      </c>
      <c r="N23" s="423">
        <v>16.95</v>
      </c>
      <c r="O23" s="441">
        <f t="shared" si="18"/>
        <v>3.375</v>
      </c>
      <c r="P23" s="406">
        <v>0</v>
      </c>
      <c r="Q23" s="406" t="str">
        <f t="shared" si="7"/>
        <v>0</v>
      </c>
      <c r="R23" s="422">
        <v>2.3599999999999999E-2</v>
      </c>
      <c r="S23" s="423">
        <f t="shared" si="8"/>
        <v>4.5</v>
      </c>
      <c r="T23" s="406">
        <v>0</v>
      </c>
      <c r="U23" s="422" t="str">
        <f t="shared" si="9"/>
        <v>0</v>
      </c>
      <c r="V23" s="422">
        <v>8.2000000000000007E-3</v>
      </c>
      <c r="W23" s="423">
        <f t="shared" si="10"/>
        <v>6.75</v>
      </c>
      <c r="X23" s="406">
        <v>0</v>
      </c>
      <c r="Y23" s="422" t="str">
        <f t="shared" si="11"/>
        <v>0</v>
      </c>
      <c r="Z23" s="434">
        <v>-2.7000000000000001E-3</v>
      </c>
      <c r="AA23" s="423">
        <f t="shared" si="12"/>
        <v>6.75</v>
      </c>
      <c r="AB23" s="406">
        <v>1</v>
      </c>
      <c r="AC23" s="422" t="str">
        <f t="shared" si="13"/>
        <v>1,5</v>
      </c>
      <c r="AD23" s="442">
        <v>1.01</v>
      </c>
      <c r="AE23" s="445">
        <f t="shared" si="14"/>
        <v>3.375</v>
      </c>
      <c r="AF23" s="406">
        <v>0</v>
      </c>
      <c r="AG23" s="406">
        <v>0</v>
      </c>
      <c r="AH23" s="429">
        <v>-0.53</v>
      </c>
      <c r="AI23" s="441">
        <f t="shared" si="15"/>
        <v>2.25</v>
      </c>
      <c r="AJ23" s="406">
        <v>0</v>
      </c>
      <c r="AK23" s="406" t="str">
        <f t="shared" si="16"/>
        <v>0</v>
      </c>
      <c r="AL23" s="446">
        <f t="shared" si="17"/>
        <v>50</v>
      </c>
      <c r="AM23" s="438" t="s">
        <v>865</v>
      </c>
    </row>
    <row r="24" spans="1:39">
      <c r="B24" s="261"/>
      <c r="C24" s="261"/>
      <c r="D24" s="261"/>
      <c r="E24" s="33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391"/>
      <c r="AF24" s="261"/>
      <c r="AG24" s="261"/>
      <c r="AH24" s="261"/>
      <c r="AI24" s="261"/>
      <c r="AJ24" s="261"/>
      <c r="AK24" s="261"/>
    </row>
    <row r="25" spans="1:39" ht="18.75">
      <c r="A25" s="267" t="s">
        <v>60</v>
      </c>
      <c r="B25" s="267" t="s">
        <v>59</v>
      </c>
      <c r="C25" s="267"/>
      <c r="D25" s="267"/>
      <c r="E25" s="267"/>
      <c r="F25" s="267" t="s">
        <v>58</v>
      </c>
      <c r="G25" s="267"/>
      <c r="H25" s="266"/>
      <c r="I25" s="266"/>
      <c r="J25" s="266"/>
      <c r="K25" s="266"/>
      <c r="L25" s="266" t="s">
        <v>57</v>
      </c>
      <c r="M25" s="266"/>
      <c r="V25" s="261"/>
      <c r="W25" s="261"/>
      <c r="X25" s="305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</row>
    <row r="26" spans="1:39" ht="17.25">
      <c r="A26" s="265" t="s">
        <v>56</v>
      </c>
      <c r="B26" s="256">
        <v>13.5</v>
      </c>
      <c r="C26" s="256"/>
      <c r="D26" s="264"/>
      <c r="E26" s="264"/>
      <c r="F26" s="256">
        <f>L26-B26</f>
        <v>1.5</v>
      </c>
      <c r="G26" s="256"/>
      <c r="H26" s="262"/>
      <c r="I26" s="262"/>
      <c r="J26" s="262"/>
      <c r="K26" s="262"/>
      <c r="L26" s="256">
        <v>15</v>
      </c>
      <c r="M26" s="256"/>
      <c r="V26" s="261"/>
      <c r="W26" s="261"/>
      <c r="X26" s="305"/>
      <c r="Y26" s="261"/>
      <c r="Z26" s="261"/>
      <c r="AA26" s="261"/>
      <c r="AB26" s="261"/>
      <c r="AC26" s="261"/>
      <c r="AD26" s="261"/>
      <c r="AE26" s="261"/>
      <c r="AG26" s="261"/>
      <c r="AH26" s="261"/>
      <c r="AJ26" s="261"/>
      <c r="AK26" s="261"/>
    </row>
    <row r="27" spans="1:39">
      <c r="A27" s="236" t="s">
        <v>727</v>
      </c>
      <c r="B27" s="250">
        <f>B26*0.25</f>
        <v>3.375</v>
      </c>
      <c r="C27" s="250"/>
      <c r="D27" s="250"/>
      <c r="E27" s="250"/>
      <c r="F27" s="250" t="s">
        <v>7</v>
      </c>
      <c r="G27" s="250"/>
      <c r="H27" s="236">
        <v>1.5</v>
      </c>
      <c r="T27" s="305"/>
      <c r="V27" s="261"/>
      <c r="W27" s="261"/>
      <c r="X27" s="305"/>
      <c r="Y27" s="261"/>
      <c r="Z27" s="261"/>
      <c r="AA27" s="261"/>
      <c r="AB27" s="305"/>
      <c r="AC27" s="261"/>
      <c r="AD27" s="261"/>
      <c r="AE27" s="261"/>
      <c r="AG27" s="261"/>
      <c r="AH27" s="261"/>
      <c r="AJ27" s="261"/>
      <c r="AK27" s="261"/>
    </row>
    <row r="28" spans="1:39">
      <c r="A28" s="236" t="s">
        <v>863</v>
      </c>
      <c r="B28" s="250">
        <f>B26*0.5</f>
        <v>6.75</v>
      </c>
      <c r="C28" s="250"/>
      <c r="D28" s="250"/>
      <c r="E28" s="250"/>
      <c r="F28" s="250" t="s">
        <v>4</v>
      </c>
      <c r="G28" s="250"/>
      <c r="H28" s="236">
        <v>0</v>
      </c>
      <c r="T28" s="305"/>
      <c r="V28" s="261"/>
      <c r="W28" s="261"/>
      <c r="X28" s="305"/>
      <c r="Y28" s="261"/>
      <c r="Z28" s="261"/>
      <c r="AA28" s="261"/>
      <c r="AB28" s="305"/>
      <c r="AC28" s="261"/>
      <c r="AD28" s="261"/>
      <c r="AE28" s="261"/>
      <c r="AG28" s="261"/>
      <c r="AH28" s="261"/>
      <c r="AJ28" s="261"/>
      <c r="AK28" s="261"/>
    </row>
    <row r="29" spans="1:39">
      <c r="A29" s="236" t="s">
        <v>223</v>
      </c>
      <c r="B29" s="250">
        <f>B26*0.75</f>
        <v>10.125</v>
      </c>
      <c r="C29" s="250"/>
      <c r="D29" s="250"/>
      <c r="E29" s="250"/>
      <c r="F29" s="250"/>
      <c r="G29" s="250"/>
      <c r="T29" s="305"/>
      <c r="V29" s="261"/>
      <c r="W29" s="261"/>
      <c r="X29" s="261"/>
      <c r="Y29" s="261"/>
      <c r="Z29" s="261"/>
      <c r="AA29" s="261"/>
      <c r="AB29" s="305"/>
      <c r="AC29" s="261"/>
      <c r="AD29" s="261"/>
      <c r="AE29" s="261"/>
      <c r="AG29" s="261"/>
      <c r="AH29" s="261"/>
      <c r="AJ29" s="261"/>
      <c r="AK29" s="261"/>
    </row>
    <row r="30" spans="1:39">
      <c r="A30" s="236" t="s">
        <v>222</v>
      </c>
      <c r="B30" s="250">
        <f>B26*1</f>
        <v>13.5</v>
      </c>
      <c r="C30" s="250"/>
      <c r="D30" s="250"/>
      <c r="E30" s="250"/>
      <c r="F30" s="250"/>
      <c r="G30" s="250"/>
      <c r="T30" s="305"/>
      <c r="AB30" s="305"/>
    </row>
    <row r="31" spans="1:39">
      <c r="B31" s="250"/>
      <c r="C31" s="250"/>
      <c r="D31" s="250"/>
      <c r="E31" s="250"/>
      <c r="F31" s="250"/>
      <c r="G31" s="250"/>
    </row>
    <row r="32" spans="1:39" ht="17.25">
      <c r="A32" s="265" t="s">
        <v>51</v>
      </c>
      <c r="B32" s="256">
        <v>13.5</v>
      </c>
      <c r="C32" s="250"/>
      <c r="D32" s="250"/>
      <c r="E32" s="250"/>
      <c r="F32" s="250"/>
      <c r="G32" s="250"/>
    </row>
    <row r="33" spans="1:13">
      <c r="A33" s="252" t="s">
        <v>50</v>
      </c>
      <c r="B33" s="250">
        <f>B32*0.25</f>
        <v>3.375</v>
      </c>
      <c r="C33" s="256"/>
      <c r="D33" s="264"/>
      <c r="E33" s="264"/>
      <c r="F33" s="256">
        <f>L33-B32</f>
        <v>1.5</v>
      </c>
      <c r="G33" s="256"/>
      <c r="H33" s="262"/>
      <c r="I33" s="262"/>
      <c r="J33" s="262"/>
      <c r="K33" s="262"/>
      <c r="L33" s="256">
        <v>15</v>
      </c>
      <c r="M33" s="256"/>
    </row>
    <row r="34" spans="1:13">
      <c r="A34" s="236" t="s">
        <v>221</v>
      </c>
      <c r="B34" s="250">
        <f>B32*0.5</f>
        <v>6.75</v>
      </c>
      <c r="C34" s="250"/>
      <c r="D34" s="250"/>
      <c r="E34" s="250"/>
      <c r="F34" s="250" t="s">
        <v>7</v>
      </c>
      <c r="G34" s="250"/>
      <c r="H34" s="236">
        <v>1.5</v>
      </c>
    </row>
    <row r="35" spans="1:13">
      <c r="A35" s="236" t="s">
        <v>220</v>
      </c>
      <c r="B35" s="250">
        <f>B32*0.75</f>
        <v>10.125</v>
      </c>
      <c r="C35" s="250"/>
      <c r="D35" s="250"/>
      <c r="E35" s="250"/>
      <c r="F35" s="250" t="s">
        <v>4</v>
      </c>
      <c r="G35" s="250"/>
      <c r="H35" s="236">
        <v>0</v>
      </c>
    </row>
    <row r="36" spans="1:13">
      <c r="A36" s="236" t="s">
        <v>219</v>
      </c>
      <c r="B36" s="250">
        <f>B32*1</f>
        <v>13.5</v>
      </c>
      <c r="C36" s="250"/>
      <c r="D36" s="250"/>
      <c r="E36" s="250"/>
      <c r="F36" s="250"/>
      <c r="G36" s="250"/>
    </row>
    <row r="37" spans="1:13">
      <c r="B37" s="250"/>
      <c r="C37" s="250"/>
      <c r="D37" s="250"/>
      <c r="E37" s="250"/>
      <c r="F37" s="250"/>
      <c r="G37" s="250"/>
    </row>
    <row r="38" spans="1:13" ht="16.5" thickBot="1">
      <c r="B38" s="250"/>
      <c r="C38" s="250"/>
      <c r="D38" s="250"/>
      <c r="E38" s="250"/>
      <c r="F38" s="250"/>
      <c r="G38" s="250"/>
    </row>
    <row r="39" spans="1:13" ht="17.25">
      <c r="A39" s="265" t="s">
        <v>46</v>
      </c>
      <c r="B39" s="256">
        <v>5</v>
      </c>
      <c r="C39" s="377" t="s">
        <v>10</v>
      </c>
      <c r="D39" s="380"/>
      <c r="E39" s="250"/>
      <c r="F39" s="250"/>
      <c r="G39" s="250"/>
      <c r="L39" s="249">
        <v>5</v>
      </c>
      <c r="M39" s="249"/>
    </row>
    <row r="40" spans="1:13">
      <c r="A40" s="236" t="s">
        <v>905</v>
      </c>
      <c r="B40" s="250">
        <f>B39*0.25</f>
        <v>1.25</v>
      </c>
      <c r="C40" s="313" t="s">
        <v>8</v>
      </c>
      <c r="D40" s="379">
        <f>QUARTILE(J4:J23,1)</f>
        <v>3.5825000000000003E-2</v>
      </c>
      <c r="E40" s="250"/>
      <c r="F40" s="250"/>
      <c r="G40" s="250"/>
    </row>
    <row r="41" spans="1:13">
      <c r="A41" s="236" t="s">
        <v>904</v>
      </c>
      <c r="B41" s="250">
        <f>B39*0.5</f>
        <v>2.5</v>
      </c>
      <c r="C41" s="313" t="s">
        <v>5</v>
      </c>
      <c r="D41" s="379">
        <f>QUARTILE(J4:J23,2)</f>
        <v>7.9850000000000004E-2</v>
      </c>
      <c r="E41" s="250"/>
      <c r="F41" s="250"/>
      <c r="G41" s="250"/>
    </row>
    <row r="42" spans="1:13">
      <c r="A42" s="236" t="s">
        <v>903</v>
      </c>
      <c r="B42" s="250">
        <f>B39*0.75</f>
        <v>3.75</v>
      </c>
      <c r="C42" s="313" t="s">
        <v>2</v>
      </c>
      <c r="D42" s="379">
        <f>QUARTILE(J4:J23,3)</f>
        <v>0.17027500000000001</v>
      </c>
      <c r="E42" s="250"/>
      <c r="F42" s="250"/>
      <c r="G42" s="250"/>
    </row>
    <row r="43" spans="1:13" ht="16.5" thickBot="1">
      <c r="A43" s="236" t="s">
        <v>902</v>
      </c>
      <c r="B43" s="250">
        <f>B39*1</f>
        <v>5</v>
      </c>
      <c r="C43" s="372"/>
      <c r="D43" s="381"/>
      <c r="E43" s="250"/>
      <c r="F43" s="250"/>
      <c r="G43" s="250"/>
    </row>
    <row r="44" spans="1:13" ht="16.5" thickBot="1">
      <c r="B44" s="250"/>
      <c r="C44" s="250"/>
      <c r="D44" s="276"/>
      <c r="E44" s="250"/>
      <c r="F44" s="250"/>
      <c r="G44" s="250"/>
    </row>
    <row r="45" spans="1:13" ht="17.25">
      <c r="A45" s="265" t="s">
        <v>41</v>
      </c>
      <c r="B45" s="256">
        <v>5</v>
      </c>
      <c r="C45" s="377" t="s">
        <v>10</v>
      </c>
      <c r="D45" s="380"/>
      <c r="E45" s="250"/>
      <c r="F45" s="250"/>
      <c r="G45" s="250"/>
      <c r="L45" s="249">
        <v>5</v>
      </c>
      <c r="M45" s="249"/>
    </row>
    <row r="46" spans="1:13">
      <c r="A46" s="236" t="s">
        <v>901</v>
      </c>
      <c r="B46" s="250">
        <f>B45*0.25</f>
        <v>1.25</v>
      </c>
      <c r="C46" s="313" t="s">
        <v>8</v>
      </c>
      <c r="D46" s="379">
        <f>QUARTILE(L4:L23,1)</f>
        <v>-0.63549999999999995</v>
      </c>
      <c r="E46" s="250"/>
      <c r="F46" s="250"/>
      <c r="G46" s="250"/>
    </row>
    <row r="47" spans="1:13">
      <c r="A47" s="236" t="s">
        <v>900</v>
      </c>
      <c r="B47" s="250">
        <f>B45*0.5</f>
        <v>2.5</v>
      </c>
      <c r="C47" s="313" t="s">
        <v>5</v>
      </c>
      <c r="D47" s="379">
        <f>QUARTILE(L4:L23,2)</f>
        <v>-0.43005000000000004</v>
      </c>
      <c r="E47" s="250"/>
      <c r="F47" s="250"/>
      <c r="G47" s="250"/>
    </row>
    <row r="48" spans="1:13">
      <c r="A48" s="236" t="s">
        <v>899</v>
      </c>
      <c r="B48" s="250">
        <f>B45*0.75</f>
        <v>3.75</v>
      </c>
      <c r="C48" s="313" t="s">
        <v>2</v>
      </c>
      <c r="D48" s="379">
        <f>QUARTILE(L4:L23,3)</f>
        <v>1.7075E-2</v>
      </c>
      <c r="E48" s="250"/>
      <c r="F48" s="250"/>
      <c r="G48" s="250"/>
    </row>
    <row r="49" spans="1:13" ht="16.5" thickBot="1">
      <c r="A49" s="236" t="s">
        <v>898</v>
      </c>
      <c r="B49" s="250">
        <f>B45*1</f>
        <v>5</v>
      </c>
      <c r="C49" s="372"/>
      <c r="D49" s="371"/>
      <c r="E49" s="250"/>
      <c r="F49" s="250"/>
      <c r="G49" s="250"/>
    </row>
    <row r="50" spans="1:13" ht="16.5" thickBot="1">
      <c r="B50" s="250"/>
      <c r="C50" s="250"/>
      <c r="D50" s="250"/>
      <c r="E50" s="250"/>
      <c r="F50" s="250"/>
      <c r="G50" s="250"/>
    </row>
    <row r="51" spans="1:13" ht="17.25">
      <c r="A51" s="290" t="s">
        <v>36</v>
      </c>
      <c r="B51" s="256">
        <v>4.5</v>
      </c>
      <c r="C51" s="377" t="s">
        <v>10</v>
      </c>
      <c r="D51" s="376"/>
      <c r="E51" s="254"/>
      <c r="F51" s="254">
        <v>0.5</v>
      </c>
      <c r="G51" s="254"/>
      <c r="H51" s="258"/>
      <c r="I51" s="258"/>
      <c r="J51" s="258"/>
      <c r="K51" s="258"/>
      <c r="L51" s="254">
        <v>5</v>
      </c>
      <c r="M51" s="254"/>
    </row>
    <row r="52" spans="1:13">
      <c r="A52" s="236" t="s">
        <v>897</v>
      </c>
      <c r="B52" s="250">
        <f>B51*1</f>
        <v>4.5</v>
      </c>
      <c r="C52" s="313" t="s">
        <v>8</v>
      </c>
      <c r="D52" s="374">
        <f>QUARTILE(N4:N23,1)</f>
        <v>-6.8750000000000006E-2</v>
      </c>
      <c r="E52" s="250"/>
      <c r="F52" s="250" t="s">
        <v>7</v>
      </c>
      <c r="G52" s="250"/>
      <c r="H52" s="236">
        <v>0.5</v>
      </c>
    </row>
    <row r="53" spans="1:13">
      <c r="A53" s="236" t="s">
        <v>896</v>
      </c>
      <c r="B53" s="250">
        <f>B51*0.75</f>
        <v>3.375</v>
      </c>
      <c r="C53" s="313" t="s">
        <v>5</v>
      </c>
      <c r="D53" s="374">
        <f>QUARTILE(N4:N23,2)</f>
        <v>20.64</v>
      </c>
      <c r="E53" s="250"/>
      <c r="F53" s="250" t="s">
        <v>4</v>
      </c>
      <c r="G53" s="250"/>
      <c r="H53" s="236">
        <v>0</v>
      </c>
    </row>
    <row r="54" spans="1:13">
      <c r="A54" s="236" t="s">
        <v>895</v>
      </c>
      <c r="B54" s="250">
        <f>B51*0.5</f>
        <v>2.25</v>
      </c>
      <c r="C54" s="313" t="s">
        <v>2</v>
      </c>
      <c r="D54" s="374">
        <f>QUARTILE(N4:N23,3)</f>
        <v>40.664999999999999</v>
      </c>
      <c r="E54" s="250"/>
      <c r="F54" s="250"/>
      <c r="G54" s="250"/>
    </row>
    <row r="55" spans="1:13" ht="16.5" thickBot="1">
      <c r="A55" s="236" t="s">
        <v>894</v>
      </c>
      <c r="B55" s="250">
        <f>B51*0.25</f>
        <v>1.125</v>
      </c>
      <c r="C55" s="372"/>
      <c r="D55" s="371"/>
      <c r="E55" s="250"/>
      <c r="F55" s="250"/>
      <c r="G55" s="250"/>
    </row>
    <row r="56" spans="1:13">
      <c r="B56" s="250"/>
      <c r="C56" s="250"/>
      <c r="D56" s="250"/>
      <c r="E56" s="250"/>
      <c r="F56" s="250"/>
      <c r="G56" s="250"/>
    </row>
    <row r="57" spans="1:13" ht="17.25">
      <c r="A57" s="290" t="s">
        <v>31</v>
      </c>
      <c r="B57" s="256">
        <v>9</v>
      </c>
      <c r="C57" s="254"/>
      <c r="D57" s="254"/>
      <c r="E57" s="254"/>
      <c r="F57" s="256">
        <f>L57-B57</f>
        <v>1</v>
      </c>
      <c r="G57" s="254"/>
      <c r="H57" s="258"/>
      <c r="I57" s="258"/>
      <c r="J57" s="258"/>
      <c r="K57" s="258"/>
      <c r="L57" s="254">
        <v>10</v>
      </c>
      <c r="M57" s="254"/>
    </row>
    <row r="58" spans="1:13">
      <c r="A58" s="305" t="s">
        <v>460</v>
      </c>
      <c r="B58" s="250">
        <f>B57*0.25</f>
        <v>2.25</v>
      </c>
      <c r="C58" s="250"/>
      <c r="D58" s="250"/>
      <c r="E58" s="250"/>
      <c r="F58" s="250" t="s">
        <v>7</v>
      </c>
      <c r="G58" s="250"/>
      <c r="H58" s="236">
        <v>1</v>
      </c>
    </row>
    <row r="59" spans="1:13">
      <c r="A59" s="305" t="s">
        <v>713</v>
      </c>
      <c r="B59" s="250">
        <f>B57*0.5</f>
        <v>4.5</v>
      </c>
      <c r="C59" s="250"/>
      <c r="D59" s="250"/>
      <c r="E59" s="250"/>
      <c r="F59" s="250" t="s">
        <v>4</v>
      </c>
      <c r="G59" s="250"/>
      <c r="H59" s="236">
        <v>0</v>
      </c>
    </row>
    <row r="60" spans="1:13">
      <c r="A60" s="305" t="s">
        <v>204</v>
      </c>
      <c r="B60" s="250">
        <f>B57*0.75</f>
        <v>6.75</v>
      </c>
      <c r="C60" s="250"/>
      <c r="D60" s="250"/>
      <c r="E60" s="250"/>
      <c r="F60" s="250"/>
      <c r="G60" s="250"/>
    </row>
    <row r="61" spans="1:13">
      <c r="A61" s="305" t="s">
        <v>203</v>
      </c>
      <c r="B61" s="250">
        <f>B57*1</f>
        <v>9</v>
      </c>
      <c r="C61" s="250"/>
      <c r="D61" s="250"/>
      <c r="E61" s="250"/>
      <c r="F61" s="250"/>
      <c r="G61" s="250"/>
    </row>
    <row r="62" spans="1:13">
      <c r="B62" s="250"/>
      <c r="C62" s="250"/>
      <c r="D62" s="250"/>
      <c r="E62" s="250"/>
      <c r="F62" s="250"/>
      <c r="G62" s="250"/>
    </row>
    <row r="63" spans="1:13" ht="17.25">
      <c r="A63" s="290" t="s">
        <v>26</v>
      </c>
      <c r="B63" s="256">
        <v>13.5</v>
      </c>
      <c r="C63" s="254"/>
      <c r="D63" s="254"/>
      <c r="E63" s="254"/>
      <c r="F63" s="256">
        <f>L63-B63</f>
        <v>1.5</v>
      </c>
      <c r="G63" s="254"/>
      <c r="H63" s="258"/>
      <c r="I63" s="258"/>
      <c r="J63" s="258"/>
      <c r="K63" s="258"/>
      <c r="L63" s="254">
        <v>15</v>
      </c>
      <c r="M63" s="254"/>
    </row>
    <row r="64" spans="1:13">
      <c r="A64" s="305" t="s">
        <v>456</v>
      </c>
      <c r="B64" s="250">
        <f>B63*0.25</f>
        <v>3.375</v>
      </c>
      <c r="C64" s="250"/>
      <c r="D64" s="250"/>
      <c r="E64" s="250"/>
      <c r="F64" s="250" t="s">
        <v>7</v>
      </c>
      <c r="G64" s="250"/>
      <c r="H64" s="236">
        <v>1.5</v>
      </c>
    </row>
    <row r="65" spans="1:13">
      <c r="A65" s="305" t="s">
        <v>455</v>
      </c>
      <c r="B65" s="250">
        <f>B63*0.5</f>
        <v>6.75</v>
      </c>
      <c r="C65" s="250"/>
      <c r="D65" s="250"/>
      <c r="E65" s="250"/>
      <c r="F65" s="250" t="s">
        <v>4</v>
      </c>
      <c r="G65" s="250"/>
      <c r="H65" s="236">
        <v>0</v>
      </c>
    </row>
    <row r="66" spans="1:13">
      <c r="A66" s="305" t="s">
        <v>200</v>
      </c>
      <c r="B66" s="250">
        <f>B63*0.75</f>
        <v>10.125</v>
      </c>
      <c r="C66" s="250"/>
      <c r="D66" s="250"/>
      <c r="E66" s="250"/>
      <c r="F66" s="250"/>
      <c r="G66" s="250"/>
    </row>
    <row r="67" spans="1:13">
      <c r="A67" s="305" t="s">
        <v>199</v>
      </c>
      <c r="B67" s="250">
        <f>B63*1</f>
        <v>13.5</v>
      </c>
      <c r="C67" s="250"/>
      <c r="D67" s="250"/>
      <c r="E67" s="250"/>
      <c r="F67" s="250"/>
      <c r="G67" s="250"/>
    </row>
    <row r="68" spans="1:13">
      <c r="B68" s="250"/>
      <c r="C68" s="250"/>
      <c r="D68" s="250"/>
      <c r="E68" s="250"/>
      <c r="F68" s="250"/>
      <c r="G68" s="250"/>
    </row>
    <row r="69" spans="1:13" ht="17.25">
      <c r="A69" s="290" t="s">
        <v>21</v>
      </c>
      <c r="B69" s="256">
        <v>13.5</v>
      </c>
      <c r="C69" s="254"/>
      <c r="D69" s="254"/>
      <c r="E69" s="254"/>
      <c r="F69" s="256">
        <f>L69-B69</f>
        <v>1.5</v>
      </c>
      <c r="G69" s="254"/>
      <c r="H69" s="258"/>
      <c r="I69" s="258"/>
      <c r="J69" s="258"/>
      <c r="K69" s="258"/>
      <c r="L69" s="254">
        <v>15</v>
      </c>
      <c r="M69" s="254"/>
    </row>
    <row r="70" spans="1:13">
      <c r="A70" s="305" t="s">
        <v>454</v>
      </c>
      <c r="B70" s="250">
        <f>B69*0.25</f>
        <v>3.375</v>
      </c>
      <c r="C70" s="250"/>
      <c r="D70" s="250"/>
      <c r="E70" s="250"/>
      <c r="F70" s="250" t="s">
        <v>7</v>
      </c>
      <c r="G70" s="250"/>
      <c r="H70" s="236">
        <v>1.5</v>
      </c>
    </row>
    <row r="71" spans="1:13">
      <c r="A71" s="305" t="s">
        <v>453</v>
      </c>
      <c r="B71" s="250">
        <f>B69*0.5</f>
        <v>6.75</v>
      </c>
      <c r="C71" s="250"/>
      <c r="D71" s="250"/>
      <c r="E71" s="250"/>
      <c r="F71" s="250" t="s">
        <v>4</v>
      </c>
      <c r="G71" s="250"/>
      <c r="H71" s="236">
        <v>0</v>
      </c>
    </row>
    <row r="72" spans="1:13">
      <c r="A72" s="305" t="s">
        <v>196</v>
      </c>
      <c r="B72" s="250">
        <f>B69*0.75</f>
        <v>10.125</v>
      </c>
      <c r="C72" s="250"/>
      <c r="D72" s="250"/>
      <c r="E72" s="250"/>
      <c r="F72" s="250"/>
      <c r="G72" s="250"/>
    </row>
    <row r="73" spans="1:13">
      <c r="A73" s="305" t="s">
        <v>195</v>
      </c>
      <c r="B73" s="250">
        <f>B69*1</f>
        <v>13.5</v>
      </c>
      <c r="C73" s="250"/>
      <c r="D73" s="250"/>
      <c r="E73" s="250"/>
      <c r="F73" s="250"/>
      <c r="G73" s="250"/>
    </row>
    <row r="74" spans="1:13" ht="16.5" thickBot="1">
      <c r="B74" s="250"/>
      <c r="C74" s="250"/>
      <c r="D74" s="250"/>
      <c r="E74" s="250"/>
      <c r="F74" s="250"/>
      <c r="G74" s="250"/>
    </row>
    <row r="75" spans="1:13" ht="17.25">
      <c r="A75" s="290" t="s">
        <v>16</v>
      </c>
      <c r="B75" s="256">
        <v>4.5</v>
      </c>
      <c r="C75" s="377" t="s">
        <v>10</v>
      </c>
      <c r="D75" s="376"/>
      <c r="E75" s="254"/>
      <c r="F75" s="256">
        <f>L75-B75</f>
        <v>0.5</v>
      </c>
      <c r="G75" s="254"/>
      <c r="H75" s="258"/>
      <c r="I75" s="258"/>
      <c r="J75" s="258"/>
      <c r="K75" s="258"/>
      <c r="L75" s="254">
        <v>5</v>
      </c>
      <c r="M75" s="254"/>
    </row>
    <row r="76" spans="1:13">
      <c r="A76" s="236" t="s">
        <v>849</v>
      </c>
      <c r="B76" s="250">
        <f>B75*0.25</f>
        <v>1.125</v>
      </c>
      <c r="C76" s="313" t="s">
        <v>8</v>
      </c>
      <c r="D76" s="390">
        <f>QUARTILE(AD4:AD23,1)</f>
        <v>0.98</v>
      </c>
      <c r="E76" s="250"/>
      <c r="F76" s="250" t="s">
        <v>7</v>
      </c>
      <c r="G76" s="250"/>
      <c r="H76" s="236">
        <v>0.5</v>
      </c>
    </row>
    <row r="77" spans="1:13">
      <c r="A77" s="236" t="s">
        <v>893</v>
      </c>
      <c r="B77" s="250">
        <f>B75*0.5</f>
        <v>2.25</v>
      </c>
      <c r="C77" s="313" t="s">
        <v>5</v>
      </c>
      <c r="D77" s="390">
        <f>QUARTILE(AD4:AD23,2)</f>
        <v>1.0049999999999999</v>
      </c>
      <c r="E77" s="250"/>
      <c r="F77" s="250" t="s">
        <v>4</v>
      </c>
      <c r="G77" s="250"/>
      <c r="H77" s="236">
        <v>0</v>
      </c>
    </row>
    <row r="78" spans="1:13">
      <c r="A78" s="236" t="s">
        <v>892</v>
      </c>
      <c r="B78" s="250">
        <f>B75*0.75</f>
        <v>3.375</v>
      </c>
      <c r="C78" s="313" t="s">
        <v>2</v>
      </c>
      <c r="D78" s="390">
        <f>QUARTILE(AD4:AD23,3)</f>
        <v>1.032025</v>
      </c>
      <c r="E78" s="250"/>
      <c r="F78" s="250"/>
      <c r="G78" s="250"/>
    </row>
    <row r="79" spans="1:13" ht="16.5" thickBot="1">
      <c r="A79" s="236" t="s">
        <v>891</v>
      </c>
      <c r="B79" s="250">
        <f>B75*1</f>
        <v>4.5</v>
      </c>
      <c r="C79" s="372"/>
      <c r="D79" s="371"/>
      <c r="E79" s="250"/>
      <c r="F79" s="250"/>
      <c r="G79" s="250"/>
    </row>
    <row r="80" spans="1:13" ht="16.5" thickBot="1">
      <c r="B80" s="250"/>
      <c r="C80" s="250"/>
      <c r="D80" s="250"/>
      <c r="E80" s="250"/>
      <c r="F80" s="250"/>
      <c r="G80" s="250"/>
    </row>
    <row r="81" spans="1:13" ht="17.25">
      <c r="A81" s="290" t="s">
        <v>11</v>
      </c>
      <c r="B81" s="256">
        <v>9</v>
      </c>
      <c r="C81" s="377" t="s">
        <v>10</v>
      </c>
      <c r="D81" s="376"/>
      <c r="E81" s="254"/>
      <c r="F81" s="256">
        <f>L81-B81</f>
        <v>1</v>
      </c>
      <c r="G81" s="254"/>
      <c r="H81" s="254"/>
      <c r="I81" s="254"/>
      <c r="J81" s="254"/>
      <c r="K81" s="254"/>
      <c r="L81" s="254">
        <v>10</v>
      </c>
      <c r="M81" s="254"/>
    </row>
    <row r="82" spans="1:13">
      <c r="A82" s="236" t="s">
        <v>890</v>
      </c>
      <c r="B82" s="250">
        <f>B81*0.25</f>
        <v>2.25</v>
      </c>
      <c r="C82" s="313" t="s">
        <v>8</v>
      </c>
      <c r="D82" s="374">
        <f>QUARTILE(AH4:AH23,1)</f>
        <v>1.4703681942631462E-2</v>
      </c>
      <c r="E82" s="250"/>
      <c r="F82" s="250" t="s">
        <v>7</v>
      </c>
      <c r="G82" s="250"/>
      <c r="H82" s="236">
        <v>1</v>
      </c>
    </row>
    <row r="83" spans="1:13">
      <c r="A83" s="236" t="s">
        <v>889</v>
      </c>
      <c r="B83" s="250">
        <f>B81*0.5</f>
        <v>4.5</v>
      </c>
      <c r="C83" s="313" t="s">
        <v>5</v>
      </c>
      <c r="D83" s="374">
        <f>QUARTILE(AH4:AH23,2)</f>
        <v>0.11496337652614458</v>
      </c>
      <c r="E83" s="250"/>
      <c r="F83" s="250" t="s">
        <v>4</v>
      </c>
      <c r="G83" s="250"/>
      <c r="H83" s="236">
        <v>0</v>
      </c>
    </row>
    <row r="84" spans="1:13">
      <c r="A84" s="236" t="s">
        <v>888</v>
      </c>
      <c r="B84" s="250">
        <f>B81*0.75</f>
        <v>6.75</v>
      </c>
      <c r="C84" s="313" t="s">
        <v>2</v>
      </c>
      <c r="D84" s="374">
        <f>QUARTILE(AH4:AH23,3)</f>
        <v>0.18812245913559986</v>
      </c>
      <c r="E84" s="250"/>
      <c r="F84" s="250"/>
      <c r="G84" s="250"/>
    </row>
    <row r="85" spans="1:13" ht="16.5" thickBot="1">
      <c r="A85" s="236" t="s">
        <v>887</v>
      </c>
      <c r="B85" s="250">
        <f>B81*1</f>
        <v>9</v>
      </c>
      <c r="C85" s="372"/>
      <c r="D85" s="371"/>
      <c r="E85" s="250"/>
      <c r="F85" s="250"/>
      <c r="G85" s="250"/>
    </row>
    <row r="86" spans="1:13">
      <c r="B86" s="250"/>
      <c r="C86" s="250"/>
      <c r="D86" s="250"/>
      <c r="E86" s="250"/>
      <c r="F86" s="250"/>
      <c r="G86" s="250"/>
    </row>
    <row r="87" spans="1:13" ht="18.75">
      <c r="B87" s="530" t="s">
        <v>0</v>
      </c>
      <c r="C87" s="530"/>
      <c r="D87" s="530"/>
      <c r="E87" s="530"/>
      <c r="F87" s="530"/>
      <c r="G87" s="530"/>
      <c r="H87" s="530"/>
      <c r="I87" s="530"/>
      <c r="J87" s="530"/>
      <c r="K87" s="249"/>
      <c r="L87" s="248">
        <f>SUM(L26:L84)</f>
        <v>100</v>
      </c>
      <c r="M87" s="248"/>
    </row>
  </sheetData>
  <mergeCells count="2">
    <mergeCell ref="A1:AJ2"/>
    <mergeCell ref="B87:J87"/>
  </mergeCells>
  <pageMargins left="0.75" right="0.75" top="1" bottom="1" header="0.5" footer="0.5"/>
  <legacy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G45"/>
  <sheetViews>
    <sheetView zoomScale="75" zoomScaleNormal="75" zoomScalePageLayoutView="75" workbookViewId="0">
      <selection sqref="A1:G1"/>
    </sheetView>
  </sheetViews>
  <sheetFormatPr defaultColWidth="12.5703125" defaultRowHeight="15.75"/>
  <cols>
    <col min="1" max="1" width="103.85546875" style="236" customWidth="1"/>
    <col min="2" max="2" width="22.140625" style="236" customWidth="1"/>
    <col min="3" max="3" width="12.5703125" style="236"/>
    <col min="4" max="4" width="31.7109375" style="236" customWidth="1"/>
    <col min="5" max="5" width="12.5703125" style="236"/>
    <col min="6" max="6" width="23.85546875" style="236" bestFit="1" customWidth="1"/>
    <col min="7" max="7" width="23.5703125" style="236" bestFit="1" customWidth="1"/>
    <col min="8" max="8" width="24" style="236" bestFit="1" customWidth="1"/>
    <col min="9" max="16384" width="12.5703125" style="236"/>
  </cols>
  <sheetData>
    <row r="1" spans="1:7" ht="21">
      <c r="A1" s="398"/>
      <c r="B1" s="397"/>
      <c r="C1" s="537"/>
      <c r="D1" s="537"/>
      <c r="E1" s="537"/>
      <c r="F1" s="537"/>
      <c r="G1" s="537"/>
    </row>
    <row r="2" spans="1:7">
      <c r="A2" s="397"/>
      <c r="B2" s="397"/>
      <c r="D2" s="396"/>
      <c r="E2" s="250"/>
    </row>
    <row r="3" spans="1:7" ht="60">
      <c r="A3" s="447" t="s">
        <v>97</v>
      </c>
      <c r="B3" s="448" t="s">
        <v>924</v>
      </c>
      <c r="C3" s="493"/>
      <c r="D3" s="77" t="s">
        <v>97</v>
      </c>
      <c r="E3" s="551" t="s">
        <v>925</v>
      </c>
      <c r="F3" s="51" t="s">
        <v>916</v>
      </c>
      <c r="G3" s="51" t="s">
        <v>916</v>
      </c>
    </row>
    <row r="4" spans="1:7">
      <c r="A4" s="438" t="s">
        <v>878</v>
      </c>
      <c r="B4" s="395">
        <v>93.5</v>
      </c>
      <c r="C4" s="331">
        <v>1</v>
      </c>
      <c r="D4" s="546" t="s">
        <v>878</v>
      </c>
      <c r="E4" s="331">
        <v>93.25</v>
      </c>
      <c r="F4" s="493">
        <v>0</v>
      </c>
      <c r="G4" s="495">
        <f>B4-E4</f>
        <v>0.25</v>
      </c>
    </row>
    <row r="5" spans="1:7">
      <c r="A5" s="438" t="s">
        <v>874</v>
      </c>
      <c r="B5" s="395">
        <v>83.375</v>
      </c>
      <c r="C5" s="331">
        <v>2</v>
      </c>
      <c r="D5" s="546" t="s">
        <v>870</v>
      </c>
      <c r="E5" s="331">
        <v>81.75</v>
      </c>
      <c r="F5" s="497">
        <v>1</v>
      </c>
      <c r="G5" s="495">
        <f>E5-B6</f>
        <v>-1.5</v>
      </c>
    </row>
    <row r="6" spans="1:7">
      <c r="A6" s="438" t="s">
        <v>870</v>
      </c>
      <c r="B6" s="395">
        <v>83.25</v>
      </c>
      <c r="C6" s="331">
        <v>3</v>
      </c>
      <c r="D6" s="547" t="s">
        <v>884</v>
      </c>
      <c r="E6" s="331">
        <v>77.875</v>
      </c>
      <c r="F6" s="498">
        <v>4</v>
      </c>
      <c r="G6" s="495">
        <f>E6-B10</f>
        <v>10.875</v>
      </c>
    </row>
    <row r="7" spans="1:7">
      <c r="A7" s="437" t="s">
        <v>877</v>
      </c>
      <c r="B7" s="395">
        <v>75</v>
      </c>
      <c r="C7" s="331">
        <v>4</v>
      </c>
      <c r="D7" s="546" t="s">
        <v>868</v>
      </c>
      <c r="E7" s="331">
        <v>76.875</v>
      </c>
      <c r="F7" s="497">
        <v>2</v>
      </c>
      <c r="G7" s="495">
        <f>E7-B9</f>
        <v>5.625</v>
      </c>
    </row>
    <row r="8" spans="1:7">
      <c r="A8" s="437" t="s">
        <v>873</v>
      </c>
      <c r="B8" s="395">
        <v>73</v>
      </c>
      <c r="C8" s="331">
        <v>5</v>
      </c>
      <c r="D8" s="547" t="s">
        <v>883</v>
      </c>
      <c r="E8" s="331">
        <v>73.75</v>
      </c>
      <c r="F8" s="497">
        <v>6</v>
      </c>
      <c r="G8" s="495">
        <f>E8-B11</f>
        <v>7.25</v>
      </c>
    </row>
    <row r="9" spans="1:7">
      <c r="A9" s="438" t="s">
        <v>868</v>
      </c>
      <c r="B9" s="395">
        <v>71.25</v>
      </c>
      <c r="C9" s="331">
        <v>6</v>
      </c>
      <c r="D9" s="547" t="s">
        <v>881</v>
      </c>
      <c r="E9" s="331">
        <v>72.75</v>
      </c>
      <c r="F9" s="497">
        <v>15</v>
      </c>
      <c r="G9" s="495">
        <f>E9-B21</f>
        <v>31.5</v>
      </c>
    </row>
    <row r="10" spans="1:7">
      <c r="A10" s="437" t="s">
        <v>884</v>
      </c>
      <c r="B10" s="395">
        <v>67</v>
      </c>
      <c r="C10" s="331">
        <v>7</v>
      </c>
      <c r="D10" s="547" t="s">
        <v>877</v>
      </c>
      <c r="E10" s="331">
        <v>72</v>
      </c>
      <c r="F10" s="499">
        <v>-3</v>
      </c>
      <c r="G10" s="495">
        <f>E10-B7</f>
        <v>-3</v>
      </c>
    </row>
    <row r="11" spans="1:7">
      <c r="A11" s="437" t="s">
        <v>883</v>
      </c>
      <c r="B11" s="395">
        <v>66.5</v>
      </c>
      <c r="C11" s="331">
        <v>8</v>
      </c>
      <c r="D11" s="546" t="s">
        <v>875</v>
      </c>
      <c r="E11" s="331">
        <v>64.25</v>
      </c>
      <c r="F11" s="497">
        <v>14</v>
      </c>
      <c r="G11" s="495">
        <f>E11-B23</f>
        <v>24.375</v>
      </c>
    </row>
    <row r="12" spans="1:7">
      <c r="A12" s="438" t="s">
        <v>871</v>
      </c>
      <c r="B12" s="395">
        <v>55.875</v>
      </c>
      <c r="C12" s="331">
        <v>9</v>
      </c>
      <c r="D12" s="546" t="s">
        <v>876</v>
      </c>
      <c r="E12" s="331">
        <v>62.875</v>
      </c>
      <c r="F12" s="497">
        <v>10</v>
      </c>
      <c r="G12" s="495">
        <f>E12-B19</f>
        <v>15.625</v>
      </c>
    </row>
    <row r="13" spans="1:7">
      <c r="A13" s="437" t="s">
        <v>872</v>
      </c>
      <c r="B13" s="395">
        <v>54.625</v>
      </c>
      <c r="C13" s="331">
        <v>10</v>
      </c>
      <c r="D13" s="547" t="s">
        <v>882</v>
      </c>
      <c r="E13" s="331">
        <v>59.875</v>
      </c>
      <c r="F13" s="497">
        <v>2</v>
      </c>
      <c r="G13" s="495">
        <f>E13-B15</f>
        <v>9.625</v>
      </c>
    </row>
    <row r="14" spans="1:7">
      <c r="A14" s="438" t="s">
        <v>880</v>
      </c>
      <c r="B14" s="395">
        <v>54.25</v>
      </c>
      <c r="C14" s="331">
        <v>11</v>
      </c>
      <c r="D14" s="546" t="s">
        <v>874</v>
      </c>
      <c r="E14" s="331">
        <v>59.375</v>
      </c>
      <c r="F14" s="499">
        <v>-9</v>
      </c>
      <c r="G14" s="495">
        <f>E14-B5</f>
        <v>-24</v>
      </c>
    </row>
    <row r="15" spans="1:7">
      <c r="A15" s="437" t="s">
        <v>882</v>
      </c>
      <c r="B15" s="395">
        <v>50.25</v>
      </c>
      <c r="C15" s="331">
        <v>12</v>
      </c>
      <c r="D15" s="546" t="s">
        <v>880</v>
      </c>
      <c r="E15" s="331">
        <v>59.125</v>
      </c>
      <c r="F15" s="499">
        <v>-1</v>
      </c>
      <c r="G15" s="495">
        <f>E15-B14</f>
        <v>4.875</v>
      </c>
    </row>
    <row r="16" spans="1:7">
      <c r="A16" s="438" t="s">
        <v>865</v>
      </c>
      <c r="B16" s="395">
        <v>50</v>
      </c>
      <c r="C16" s="331">
        <v>13</v>
      </c>
      <c r="D16" s="546" t="s">
        <v>867</v>
      </c>
      <c r="E16" s="331">
        <v>58.625</v>
      </c>
      <c r="F16" s="497">
        <v>1</v>
      </c>
      <c r="G16" s="495">
        <f>E16-B17</f>
        <v>9.625</v>
      </c>
    </row>
    <row r="17" spans="1:7">
      <c r="A17" s="438" t="s">
        <v>867</v>
      </c>
      <c r="B17" s="395">
        <v>49</v>
      </c>
      <c r="C17" s="331">
        <v>14</v>
      </c>
      <c r="D17" s="547" t="s">
        <v>872</v>
      </c>
      <c r="E17" s="331">
        <v>57.875</v>
      </c>
      <c r="F17" s="499">
        <v>-4</v>
      </c>
      <c r="G17" s="495">
        <f>E17-B13</f>
        <v>3.25</v>
      </c>
    </row>
    <row r="18" spans="1:7">
      <c r="A18" s="438" t="s">
        <v>869</v>
      </c>
      <c r="B18" s="395">
        <v>48.75</v>
      </c>
      <c r="C18" s="331">
        <v>15</v>
      </c>
      <c r="D18" s="546" t="s">
        <v>871</v>
      </c>
      <c r="E18" s="331">
        <v>54.125</v>
      </c>
      <c r="F18" s="499">
        <v>-6</v>
      </c>
      <c r="G18" s="495">
        <f>E18-B12</f>
        <v>-1.75</v>
      </c>
    </row>
    <row r="19" spans="1:7">
      <c r="A19" s="438" t="s">
        <v>876</v>
      </c>
      <c r="B19" s="395">
        <v>47.25</v>
      </c>
      <c r="C19" s="331">
        <v>16</v>
      </c>
      <c r="D19" s="547" t="s">
        <v>873</v>
      </c>
      <c r="E19" s="331">
        <v>52.25</v>
      </c>
      <c r="F19" s="499">
        <v>-11</v>
      </c>
      <c r="G19" s="495">
        <f>E19-B8</f>
        <v>-20.75</v>
      </c>
    </row>
    <row r="20" spans="1:7">
      <c r="A20" s="437" t="s">
        <v>864</v>
      </c>
      <c r="B20" s="395">
        <v>46.875</v>
      </c>
      <c r="C20" s="331">
        <v>17</v>
      </c>
      <c r="D20" s="546" t="s">
        <v>865</v>
      </c>
      <c r="E20" s="500">
        <v>49.625</v>
      </c>
      <c r="F20" s="499">
        <v>-4</v>
      </c>
      <c r="G20" s="495">
        <f>E20-B16</f>
        <v>-0.375</v>
      </c>
    </row>
    <row r="21" spans="1:7">
      <c r="A21" s="437" t="s">
        <v>881</v>
      </c>
      <c r="B21" s="395">
        <v>41.25</v>
      </c>
      <c r="C21" s="331">
        <v>18</v>
      </c>
      <c r="D21" s="546" t="s">
        <v>869</v>
      </c>
      <c r="E21" s="331">
        <v>42.25</v>
      </c>
      <c r="F21" s="499">
        <v>-3</v>
      </c>
      <c r="G21" s="495">
        <f>E21-B18</f>
        <v>-6.5</v>
      </c>
    </row>
    <row r="22" spans="1:7">
      <c r="A22" s="438" t="s">
        <v>866</v>
      </c>
      <c r="B22" s="395">
        <v>41.125</v>
      </c>
      <c r="C22" s="331">
        <v>19</v>
      </c>
      <c r="D22" s="546" t="s">
        <v>866</v>
      </c>
      <c r="E22" s="331">
        <v>41.5</v>
      </c>
      <c r="F22" s="501">
        <v>0</v>
      </c>
      <c r="G22" s="495">
        <f>E22-B22</f>
        <v>0.375</v>
      </c>
    </row>
    <row r="23" spans="1:7">
      <c r="A23" s="438" t="s">
        <v>875</v>
      </c>
      <c r="B23" s="395">
        <v>39.875</v>
      </c>
      <c r="C23" s="331">
        <v>20</v>
      </c>
      <c r="D23" s="547" t="s">
        <v>864</v>
      </c>
      <c r="E23" s="331">
        <v>29.5</v>
      </c>
      <c r="F23" s="499">
        <v>-3</v>
      </c>
      <c r="G23" s="495">
        <f>E23-B20</f>
        <v>-17.375</v>
      </c>
    </row>
    <row r="24" spans="1:7">
      <c r="A24" s="393"/>
      <c r="B24" s="393"/>
      <c r="G24" s="392"/>
    </row>
    <row r="25" spans="1:7">
      <c r="C25"/>
      <c r="D25"/>
      <c r="G25" s="392"/>
    </row>
    <row r="26" spans="1:7">
      <c r="C26"/>
      <c r="D26"/>
    </row>
    <row r="27" spans="1:7">
      <c r="C27"/>
      <c r="D27"/>
    </row>
    <row r="28" spans="1:7">
      <c r="C28"/>
      <c r="D28"/>
    </row>
    <row r="29" spans="1:7">
      <c r="C29"/>
      <c r="D29"/>
    </row>
    <row r="30" spans="1:7">
      <c r="C30"/>
      <c r="D30"/>
    </row>
    <row r="31" spans="1:7">
      <c r="C31"/>
      <c r="D31"/>
    </row>
    <row r="32" spans="1:7">
      <c r="C32"/>
      <c r="D32"/>
    </row>
    <row r="33" spans="3:4">
      <c r="C33"/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  <row r="41" spans="3:4">
      <c r="C41"/>
      <c r="D41"/>
    </row>
    <row r="42" spans="3:4">
      <c r="C42"/>
      <c r="D42"/>
    </row>
    <row r="43" spans="3:4">
      <c r="C43"/>
      <c r="D43"/>
    </row>
    <row r="44" spans="3:4">
      <c r="C44"/>
      <c r="D44"/>
    </row>
    <row r="45" spans="3:4">
      <c r="C45"/>
      <c r="D45"/>
    </row>
  </sheetData>
  <mergeCells count="1">
    <mergeCell ref="C1:G1"/>
  </mergeCells>
  <pageMargins left="0.75" right="0.75" top="1" bottom="1" header="0.5" footer="0.5"/>
  <pageSetup paperSize="9" orientation="portrait" horizontalDpi="4294967292" verticalDpi="4294967292"/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M79"/>
  <sheetViews>
    <sheetView topLeftCell="A62" zoomScale="80" zoomScaleNormal="80" workbookViewId="0">
      <selection activeCell="A57" sqref="A57"/>
    </sheetView>
  </sheetViews>
  <sheetFormatPr defaultRowHeight="15"/>
  <cols>
    <col min="1" max="1" width="20.85546875" bestFit="1" customWidth="1"/>
    <col min="4" max="4" width="15" customWidth="1"/>
    <col min="5" max="5" width="10.5703125" customWidth="1"/>
    <col min="6" max="6" width="16.7109375" bestFit="1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6.710937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9">
      <c r="A1" s="503" t="s">
        <v>179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9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9" ht="45" customHeight="1">
      <c r="A3" s="5" t="s">
        <v>97</v>
      </c>
      <c r="B3" s="5" t="s">
        <v>96</v>
      </c>
      <c r="C3" s="24" t="s">
        <v>93</v>
      </c>
      <c r="D3" s="24" t="s">
        <v>95</v>
      </c>
      <c r="E3" s="24" t="s">
        <v>93</v>
      </c>
      <c r="F3" s="5" t="s">
        <v>94</v>
      </c>
      <c r="G3" s="24" t="s">
        <v>83</v>
      </c>
      <c r="H3" s="24" t="s">
        <v>84</v>
      </c>
      <c r="I3" s="24" t="s">
        <v>93</v>
      </c>
      <c r="J3" s="5" t="s">
        <v>92</v>
      </c>
      <c r="K3" s="24" t="s">
        <v>83</v>
      </c>
      <c r="L3" s="25" t="s">
        <v>91</v>
      </c>
      <c r="M3" s="24" t="s">
        <v>83</v>
      </c>
      <c r="N3" s="24" t="s">
        <v>90</v>
      </c>
      <c r="O3" s="24" t="s">
        <v>83</v>
      </c>
      <c r="P3" s="24" t="s">
        <v>84</v>
      </c>
      <c r="Q3" s="24" t="s">
        <v>83</v>
      </c>
      <c r="R3" s="24" t="s">
        <v>89</v>
      </c>
      <c r="S3" s="24" t="s">
        <v>83</v>
      </c>
      <c r="T3" s="24" t="s">
        <v>84</v>
      </c>
      <c r="U3" s="24" t="s">
        <v>83</v>
      </c>
      <c r="V3" s="24" t="s">
        <v>88</v>
      </c>
      <c r="W3" s="24" t="s">
        <v>83</v>
      </c>
      <c r="X3" s="24" t="s">
        <v>84</v>
      </c>
      <c r="Y3" s="24" t="s">
        <v>83</v>
      </c>
      <c r="Z3" s="24" t="s">
        <v>87</v>
      </c>
      <c r="AA3" s="24" t="s">
        <v>83</v>
      </c>
      <c r="AB3" s="24" t="s">
        <v>84</v>
      </c>
      <c r="AC3" s="24" t="s">
        <v>83</v>
      </c>
      <c r="AD3" s="24" t="s">
        <v>86</v>
      </c>
      <c r="AE3" s="24" t="s">
        <v>83</v>
      </c>
      <c r="AF3" s="24" t="s">
        <v>84</v>
      </c>
      <c r="AG3" s="24" t="s">
        <v>83</v>
      </c>
      <c r="AH3" s="24" t="s">
        <v>85</v>
      </c>
      <c r="AI3" s="24" t="s">
        <v>83</v>
      </c>
      <c r="AJ3" s="24" t="s">
        <v>84</v>
      </c>
      <c r="AK3" s="24" t="s">
        <v>83</v>
      </c>
      <c r="AL3" s="24" t="s">
        <v>82</v>
      </c>
      <c r="AM3" s="24" t="s">
        <v>81</v>
      </c>
    </row>
    <row r="4" spans="1:39">
      <c r="A4" s="32" t="s">
        <v>178</v>
      </c>
      <c r="B4" s="14">
        <v>2.2999999999999998</v>
      </c>
      <c r="C4" s="14" t="str">
        <f t="shared" ref="C4:C13" si="0">IF(B4&gt;3.2,"13,5",IF(B4&lt;=-17,"3,375",IF(AND(B4&gt;-17,B4&lt;=-0.1),"6,75","10,125")))</f>
        <v>10,125</v>
      </c>
      <c r="D4" s="3">
        <v>0</v>
      </c>
      <c r="E4" s="3" t="str">
        <f t="shared" ref="E4:E13" si="1">IF(D4=0,"0","1,5")</f>
        <v>0</v>
      </c>
      <c r="F4" s="14">
        <v>3.2</v>
      </c>
      <c r="G4" s="14" t="str">
        <f t="shared" ref="G4:G13" si="2">IF(F4&gt;47.15,"13,5",IF(F4&lt;=-2.175,"3,375",IF(AND(F4&gt;-2.175,F4&lt;=7),"6,75","10,125")))</f>
        <v>6,75</v>
      </c>
      <c r="H4" s="3">
        <v>1</v>
      </c>
      <c r="I4" s="3" t="str">
        <f t="shared" ref="I4:I13" si="3">IF(H4=0,"0","1,5")</f>
        <v>1,5</v>
      </c>
      <c r="J4" s="12">
        <v>0.16520000000000001</v>
      </c>
      <c r="K4" s="20">
        <f t="shared" ref="K4:K13" si="4">IF(J4&gt;QUARTILE($J$4:$J$13,3),$B$35,IF(AND(J4&lt;=QUARTILE($J$4:$J$13,3),J4&gt;QUARTILE($J$4:$J$13,2)),$B$34,IF(AND(J4&lt;=QUARTILE($J$4:$J$13,2),J4&gt;QUARTILE($J$4:$J$13,1)),$B$33,$B$32)))</f>
        <v>5</v>
      </c>
      <c r="L4" s="12">
        <v>0.1135</v>
      </c>
      <c r="M4" s="20">
        <f t="shared" ref="M4:M13" si="5">IF(L4&gt;QUARTILE($L$4:$L$13,3),$B$41,IF(AND(L4&lt;=QUARTILE($L$4:$L$13,3),L4&gt;QUARTILE($L$4:$L$13,2)),$B$40,IF(AND(L4&lt;=QUARTILE($L$4:$L$14,2),L4&gt;QUARTILE($L$4:$L$13,1)),$B$39,$B$38)))</f>
        <v>2.5</v>
      </c>
      <c r="N4" s="14">
        <v>-4.05</v>
      </c>
      <c r="O4" s="14">
        <f t="shared" ref="O4:O13" si="6">IF(N4&gt;QUARTILE($N$4:$N$13,3),$B$47,IF(AND(N4&lt;=QUARTILE($N$4:$N$13,3),N4&gt;QUARTILE($N$4:$N$13,2)),$B$46,IF(AND(N4&lt;=QUARTILE($N$4:$N$13,2),N4&gt;QUARTILE($N$4:$N$13,1)),$B$45,$B$44)))</f>
        <v>1.125</v>
      </c>
      <c r="P4" s="14">
        <v>0</v>
      </c>
      <c r="Q4" s="14" t="str">
        <f t="shared" ref="Q4:Q13" si="7">IF(P4=0,"0","0,5")</f>
        <v>0</v>
      </c>
      <c r="R4" s="12">
        <v>0.19439999999999999</v>
      </c>
      <c r="S4" s="12" t="str">
        <f t="shared" ref="S4:S13" si="8">IF(R4&gt;13.6525%,"9",IF(R4&lt;=-23.8325%,"2,25",IF(AND(R4&gt;-23.8325%,R4&lt;=1.865%),"4,5","6,75")))</f>
        <v>9</v>
      </c>
      <c r="T4" s="22">
        <v>0</v>
      </c>
      <c r="U4" s="12" t="str">
        <f t="shared" ref="U4:U13" si="9">IF(T4=0,"0","1")</f>
        <v>0</v>
      </c>
      <c r="V4" s="12">
        <v>4.1099999999999998E-2</v>
      </c>
      <c r="W4" s="12" t="str">
        <f t="shared" ref="W4:W13" si="10">IF(V4&gt;6.04%,"13,5",IF(V4&lt;=-26.0375%,"3,375",IF(AND(V4&gt;-26.0375%,V4&lt;=0.055%),"6,75","10,125")))</f>
        <v>10,125</v>
      </c>
      <c r="X4" s="22">
        <v>1</v>
      </c>
      <c r="Y4" s="12" t="str">
        <f t="shared" ref="Y4:Y13" si="11">IF(X4=0,"0","1,5")</f>
        <v>1,5</v>
      </c>
      <c r="Z4" s="12">
        <v>2.1499999999999998E-2</v>
      </c>
      <c r="AA4" s="12" t="str">
        <f t="shared" ref="AA4:AA13" si="12">IF(Z4&gt;3.1%,"13,5",IF(Z4&lt;=-39.7275%,"3,375",IF(AND(Z4&gt;-39.7275%,Z4&lt;=0%),"6,75","10,125")))</f>
        <v>10,125</v>
      </c>
      <c r="AB4" s="22">
        <v>0</v>
      </c>
      <c r="AC4" s="12" t="str">
        <f t="shared" ref="AC4:AC13" si="13">IF(AB4=0,"0","1,5")</f>
        <v>0</v>
      </c>
      <c r="AD4" s="13">
        <v>1.0394000000000001</v>
      </c>
      <c r="AE4" s="20">
        <f t="shared" ref="AE4:AE13" si="14">IF(AD4&gt;QUARTILE($AD$4:$AD$13,3),$B$71,IF(AND(AD4&lt;=QUARTILE($AD$4:$AD$13,3),AD4&gt;QUARTILE($AD$4:$AD$13,2)),$B$70,IF(AND(AD4&lt;=QUARTILE($AD$4:$AD$13,2),AD4&gt;QUARTILE($AD$4:$AD$13,1)),$B$69,$B$68)))</f>
        <v>1.125</v>
      </c>
      <c r="AF4" s="22">
        <v>0</v>
      </c>
      <c r="AG4" s="13" t="str">
        <f t="shared" ref="AG4:AG13" si="15">IF(AF4=0,"0","0,5")</f>
        <v>0</v>
      </c>
      <c r="AH4" s="12">
        <v>2.7900000000000001E-2</v>
      </c>
      <c r="AI4" s="20">
        <f>IF(AH4&gt;QUARTILE($AH$4:$AH$13,3),$B$77,IF(AND(AH4&lt;=QUARTILE($AH$4:$AH$13,3),AH4&gt;QUARTILE($AH$4:$AH$13,2)),$B$76,IF(AND(AH4&lt;=QUARTILE(AH4:$AH$13,2),AH4&gt;QUARTILE($AH$4:$AH$13,1)),$B$75,$B$74)))</f>
        <v>4.5</v>
      </c>
      <c r="AJ4" s="3">
        <v>0</v>
      </c>
      <c r="AK4" s="3" t="str">
        <f t="shared" ref="AK4:AK13" si="16">IF(AJ4=0,"0","1")</f>
        <v>0</v>
      </c>
      <c r="AL4" s="10">
        <f t="shared" ref="AL4:AL13" si="17">C4+E4+G4+I4+K4+M4+O4+Q4+S4+U4+W4+Y4+AA4+AC4+AE4+AG4+AI4+AK4</f>
        <v>63.375</v>
      </c>
      <c r="AM4" s="2" t="s">
        <v>67</v>
      </c>
    </row>
    <row r="5" spans="1:39">
      <c r="A5" s="32" t="s">
        <v>177</v>
      </c>
      <c r="B5" s="14">
        <v>5.2</v>
      </c>
      <c r="C5" s="14" t="str">
        <f t="shared" si="0"/>
        <v>13,5</v>
      </c>
      <c r="D5" s="3">
        <v>1</v>
      </c>
      <c r="E5" s="3" t="str">
        <f t="shared" si="1"/>
        <v>1,5</v>
      </c>
      <c r="F5" s="14">
        <v>7.5</v>
      </c>
      <c r="G5" s="14" t="str">
        <f t="shared" si="2"/>
        <v>10,125</v>
      </c>
      <c r="H5" s="3">
        <v>1</v>
      </c>
      <c r="I5" s="3" t="str">
        <f t="shared" si="3"/>
        <v>1,5</v>
      </c>
      <c r="J5" s="12">
        <v>9.9000000000000005E-2</v>
      </c>
      <c r="K5" s="20">
        <f t="shared" si="4"/>
        <v>3.75</v>
      </c>
      <c r="L5" s="12">
        <v>0.36070000000000002</v>
      </c>
      <c r="M5" s="20">
        <f t="shared" si="5"/>
        <v>3.75</v>
      </c>
      <c r="N5" s="14">
        <v>-21.92</v>
      </c>
      <c r="O5" s="14">
        <f t="shared" si="6"/>
        <v>3.375</v>
      </c>
      <c r="P5" s="14">
        <v>1</v>
      </c>
      <c r="Q5" s="14" t="str">
        <f t="shared" si="7"/>
        <v>0,5</v>
      </c>
      <c r="R5" s="12">
        <v>0.34660000000000002</v>
      </c>
      <c r="S5" s="12" t="str">
        <f t="shared" si="8"/>
        <v>9</v>
      </c>
      <c r="T5" s="22">
        <v>1</v>
      </c>
      <c r="U5" s="12" t="str">
        <f t="shared" si="9"/>
        <v>1</v>
      </c>
      <c r="V5" s="12">
        <v>0.1832</v>
      </c>
      <c r="W5" s="12" t="str">
        <f t="shared" si="10"/>
        <v>13,5</v>
      </c>
      <c r="X5" s="22">
        <v>1</v>
      </c>
      <c r="Y5" s="12" t="str">
        <f t="shared" si="11"/>
        <v>1,5</v>
      </c>
      <c r="Z5" s="12">
        <v>0.10440000000000001</v>
      </c>
      <c r="AA5" s="12" t="str">
        <f t="shared" si="12"/>
        <v>13,5</v>
      </c>
      <c r="AB5" s="22">
        <v>1</v>
      </c>
      <c r="AC5" s="12" t="str">
        <f t="shared" si="13"/>
        <v>1,5</v>
      </c>
      <c r="AD5" s="13">
        <v>1.2242</v>
      </c>
      <c r="AE5" s="20">
        <f t="shared" si="14"/>
        <v>4.5</v>
      </c>
      <c r="AF5" s="22">
        <v>1</v>
      </c>
      <c r="AG5" s="13" t="str">
        <f t="shared" si="15"/>
        <v>0,5</v>
      </c>
      <c r="AH5" s="12">
        <v>0.1113</v>
      </c>
      <c r="AI5" s="20">
        <f>IF(AH5&gt;QUARTILE($AH$4:$AH$13,3),$B$77,IF(AND(AH5&lt;=QUARTILE($AH$4:$AH$13,3),AH5&gt;QUARTILE($AH$4:$AH$13,2)),$B$76,IF(AND(AH5&lt;=QUARTILE(AH5:$AH$13,2),AH5&gt;QUARTILE($AH$4:$AH$13,1)),$B$75,$B$74)))</f>
        <v>9</v>
      </c>
      <c r="AJ5" s="3">
        <v>1</v>
      </c>
      <c r="AK5" s="3" t="str">
        <f t="shared" si="16"/>
        <v>1</v>
      </c>
      <c r="AL5" s="10">
        <f t="shared" si="17"/>
        <v>93</v>
      </c>
      <c r="AM5" s="2" t="s">
        <v>75</v>
      </c>
    </row>
    <row r="6" spans="1:39">
      <c r="A6" s="32" t="s">
        <v>176</v>
      </c>
      <c r="B6" s="14">
        <v>7.5</v>
      </c>
      <c r="C6" s="14" t="str">
        <f t="shared" si="0"/>
        <v>13,5</v>
      </c>
      <c r="D6" s="3">
        <v>0</v>
      </c>
      <c r="E6" s="3" t="str">
        <f t="shared" si="1"/>
        <v>0</v>
      </c>
      <c r="F6" s="14">
        <v>7.8</v>
      </c>
      <c r="G6" s="14" t="str">
        <f t="shared" si="2"/>
        <v>10,125</v>
      </c>
      <c r="H6" s="3">
        <v>0</v>
      </c>
      <c r="I6" s="3" t="str">
        <f t="shared" si="3"/>
        <v>0</v>
      </c>
      <c r="J6" s="12">
        <v>0.05</v>
      </c>
      <c r="K6" s="20">
        <f t="shared" si="4"/>
        <v>1.25</v>
      </c>
      <c r="L6" s="12">
        <v>2.8000000000000001E-2</v>
      </c>
      <c r="M6" s="20">
        <f t="shared" si="5"/>
        <v>1.25</v>
      </c>
      <c r="N6" s="14">
        <v>-22.66</v>
      </c>
      <c r="O6" s="14">
        <f t="shared" si="6"/>
        <v>3.375</v>
      </c>
      <c r="P6" s="14">
        <v>1</v>
      </c>
      <c r="Q6" s="14" t="str">
        <f t="shared" si="7"/>
        <v>0,5</v>
      </c>
      <c r="R6" s="12">
        <v>0.42809999999999998</v>
      </c>
      <c r="S6" s="12" t="str">
        <f t="shared" si="8"/>
        <v>9</v>
      </c>
      <c r="T6" s="22">
        <v>1</v>
      </c>
      <c r="U6" s="12" t="str">
        <f t="shared" si="9"/>
        <v>1</v>
      </c>
      <c r="V6" s="12">
        <v>0.20480000000000001</v>
      </c>
      <c r="W6" s="12" t="str">
        <f t="shared" si="10"/>
        <v>13,5</v>
      </c>
      <c r="X6" s="22">
        <v>1</v>
      </c>
      <c r="Y6" s="12" t="str">
        <f t="shared" si="11"/>
        <v>1,5</v>
      </c>
      <c r="Z6" s="12">
        <v>0.2157</v>
      </c>
      <c r="AA6" s="12" t="str">
        <f t="shared" si="12"/>
        <v>13,5</v>
      </c>
      <c r="AB6" s="22">
        <v>0</v>
      </c>
      <c r="AC6" s="12" t="str">
        <f t="shared" si="13"/>
        <v>0</v>
      </c>
      <c r="AD6" s="13">
        <v>1.2574000000000001</v>
      </c>
      <c r="AE6" s="20">
        <f t="shared" si="14"/>
        <v>4.5</v>
      </c>
      <c r="AF6" s="22">
        <v>1</v>
      </c>
      <c r="AG6" s="13" t="str">
        <f t="shared" si="15"/>
        <v>0,5</v>
      </c>
      <c r="AH6" s="12">
        <v>7.7200000000000005E-2</v>
      </c>
      <c r="AI6" s="20">
        <f>IF(AH6&gt;QUARTILE($AH$4:$AH$13,3),$B$77,IF(AND(AH6&lt;=QUARTILE($AH$4:$AH$13,3),AH6&gt;QUARTILE($AH$4:$AH$13,2)),$B$76,IF(AND(AH6&lt;=QUARTILE(AH6:$AH$13,2),AH6&gt;QUARTILE($AH$4:$AH$13,1)),$B$75,$B$74)))</f>
        <v>6.75</v>
      </c>
      <c r="AJ6" s="3">
        <v>1</v>
      </c>
      <c r="AK6" s="3" t="str">
        <f t="shared" si="16"/>
        <v>1</v>
      </c>
      <c r="AL6" s="10">
        <f t="shared" si="17"/>
        <v>81.25</v>
      </c>
      <c r="AM6" s="2" t="s">
        <v>65</v>
      </c>
    </row>
    <row r="7" spans="1:39">
      <c r="A7" s="32" t="s">
        <v>175</v>
      </c>
      <c r="B7" s="33">
        <v>6.3</v>
      </c>
      <c r="C7" s="14" t="str">
        <f t="shared" si="0"/>
        <v>13,5</v>
      </c>
      <c r="D7" s="3">
        <v>1</v>
      </c>
      <c r="E7" s="3" t="str">
        <f t="shared" si="1"/>
        <v>1,5</v>
      </c>
      <c r="F7" s="33">
        <v>8.8000000000000007</v>
      </c>
      <c r="G7" s="14" t="str">
        <f t="shared" si="2"/>
        <v>10,125</v>
      </c>
      <c r="H7" s="3">
        <v>1</v>
      </c>
      <c r="I7" s="3" t="str">
        <f t="shared" si="3"/>
        <v>1,5</v>
      </c>
      <c r="J7" s="12">
        <v>5.11E-2</v>
      </c>
      <c r="K7" s="20">
        <f t="shared" si="4"/>
        <v>1.25</v>
      </c>
      <c r="L7" s="12">
        <v>0.46439999999999998</v>
      </c>
      <c r="M7" s="20">
        <f t="shared" si="5"/>
        <v>3.75</v>
      </c>
      <c r="N7" s="14">
        <v>-73.75</v>
      </c>
      <c r="O7" s="14">
        <f t="shared" si="6"/>
        <v>4.5</v>
      </c>
      <c r="P7" s="14">
        <v>0</v>
      </c>
      <c r="Q7" s="14" t="str">
        <f t="shared" si="7"/>
        <v>0</v>
      </c>
      <c r="R7" s="12">
        <v>0.31490000000000001</v>
      </c>
      <c r="S7" s="12" t="str">
        <f t="shared" si="8"/>
        <v>9</v>
      </c>
      <c r="T7" s="22">
        <v>1</v>
      </c>
      <c r="U7" s="12" t="str">
        <f t="shared" si="9"/>
        <v>1</v>
      </c>
      <c r="V7" s="12">
        <v>0.17580000000000001</v>
      </c>
      <c r="W7" s="12" t="str">
        <f t="shared" si="10"/>
        <v>13,5</v>
      </c>
      <c r="X7" s="22">
        <v>1</v>
      </c>
      <c r="Y7" s="12" t="str">
        <f t="shared" si="11"/>
        <v>1,5</v>
      </c>
      <c r="Z7" s="12">
        <v>0.15579999999999999</v>
      </c>
      <c r="AA7" s="12" t="str">
        <f t="shared" si="12"/>
        <v>13,5</v>
      </c>
      <c r="AB7" s="22">
        <v>1</v>
      </c>
      <c r="AC7" s="12" t="str">
        <f t="shared" si="13"/>
        <v>1,5</v>
      </c>
      <c r="AD7" s="13">
        <v>1.2132000000000001</v>
      </c>
      <c r="AE7" s="20">
        <f t="shared" si="14"/>
        <v>3.375</v>
      </c>
      <c r="AF7" s="22">
        <v>1</v>
      </c>
      <c r="AG7" s="13" t="str">
        <f t="shared" si="15"/>
        <v>0,5</v>
      </c>
      <c r="AH7" s="12">
        <v>7.2400000000000006E-2</v>
      </c>
      <c r="AI7" s="20">
        <f>IF(AH7&gt;QUARTILE($AH$4:$AH$13,3),$B$77,IF(AND(AH7&lt;=QUARTILE($AH$4:$AH$13,3),AH7&gt;QUARTILE($AH$4:$AH$13,2)),$B$76,IF(AND(AH7&lt;=QUARTILE(AH7:$AH$13,2),AH7&gt;QUARTILE($AH$4:$AH$13,1)),$B$75,$B$74)))</f>
        <v>6.75</v>
      </c>
      <c r="AJ7" s="3">
        <v>1</v>
      </c>
      <c r="AK7" s="3" t="str">
        <f t="shared" si="16"/>
        <v>1</v>
      </c>
      <c r="AL7" s="10">
        <f t="shared" si="17"/>
        <v>87.75</v>
      </c>
      <c r="AM7" s="2" t="s">
        <v>63</v>
      </c>
    </row>
    <row r="8" spans="1:39">
      <c r="A8" s="32" t="s">
        <v>174</v>
      </c>
      <c r="B8" s="14">
        <v>-0.8</v>
      </c>
      <c r="C8" s="14" t="str">
        <f t="shared" si="0"/>
        <v>6,75</v>
      </c>
      <c r="D8" s="3">
        <v>0</v>
      </c>
      <c r="E8" s="3" t="str">
        <f t="shared" si="1"/>
        <v>0</v>
      </c>
      <c r="F8" s="14">
        <v>-1.3</v>
      </c>
      <c r="G8" s="14" t="str">
        <f t="shared" si="2"/>
        <v>6,75</v>
      </c>
      <c r="H8" s="3">
        <v>0</v>
      </c>
      <c r="I8" s="3" t="str">
        <f t="shared" si="3"/>
        <v>0</v>
      </c>
      <c r="J8" s="12">
        <v>0.11600000000000001</v>
      </c>
      <c r="K8" s="20">
        <f t="shared" si="4"/>
        <v>5</v>
      </c>
      <c r="L8" s="12">
        <v>0.1009</v>
      </c>
      <c r="M8" s="20">
        <f t="shared" si="5"/>
        <v>1.25</v>
      </c>
      <c r="N8" s="14">
        <v>-41.6</v>
      </c>
      <c r="O8" s="14">
        <f t="shared" si="6"/>
        <v>4.5</v>
      </c>
      <c r="P8" s="14">
        <v>0</v>
      </c>
      <c r="Q8" s="14" t="str">
        <f t="shared" si="7"/>
        <v>0</v>
      </c>
      <c r="R8" s="12">
        <v>0.1343</v>
      </c>
      <c r="S8" s="12" t="str">
        <f t="shared" si="8"/>
        <v>6,75</v>
      </c>
      <c r="T8" s="22">
        <v>0</v>
      </c>
      <c r="U8" s="12" t="str">
        <f t="shared" si="9"/>
        <v>0</v>
      </c>
      <c r="V8" s="12">
        <v>5.3400000000000003E-2</v>
      </c>
      <c r="W8" s="12" t="str">
        <f t="shared" si="10"/>
        <v>10,125</v>
      </c>
      <c r="X8" s="22">
        <v>0</v>
      </c>
      <c r="Y8" s="12" t="str">
        <f t="shared" si="11"/>
        <v>0</v>
      </c>
      <c r="Z8" s="12">
        <v>-2.9100000000000001E-2</v>
      </c>
      <c r="AA8" s="12" t="str">
        <f t="shared" si="12"/>
        <v>6,75</v>
      </c>
      <c r="AB8" s="22">
        <v>0</v>
      </c>
      <c r="AC8" s="12" t="str">
        <f t="shared" si="13"/>
        <v>0</v>
      </c>
      <c r="AD8" s="13">
        <v>1.1022000000000001</v>
      </c>
      <c r="AE8" s="20">
        <f t="shared" si="14"/>
        <v>1.125</v>
      </c>
      <c r="AF8" s="22">
        <v>1</v>
      </c>
      <c r="AG8" s="13" t="str">
        <f t="shared" si="15"/>
        <v>0,5</v>
      </c>
      <c r="AH8" s="12">
        <v>2.01E-2</v>
      </c>
      <c r="AI8" s="20">
        <f>IF(AH8&gt;QUARTILE($AH$4:$AH$13,3),$B$77,IF(AND(AH8&lt;=QUARTILE($AH$4:$AH$13,3),AH8&gt;QUARTILE($AH$4:$AH$13,2)),$B$76,IF(AND(AH8&lt;=QUARTILE(AH8:$AH$13,2),AH8&gt;QUARTILE($AH$4:$AH$13,1)),$B$75,$B$74)))</f>
        <v>2.25</v>
      </c>
      <c r="AJ8" s="3">
        <v>1</v>
      </c>
      <c r="AK8" s="3" t="str">
        <f t="shared" si="16"/>
        <v>1</v>
      </c>
      <c r="AL8" s="10">
        <f t="shared" si="17"/>
        <v>52.75</v>
      </c>
      <c r="AM8" s="2" t="s">
        <v>61</v>
      </c>
    </row>
    <row r="9" spans="1:39">
      <c r="A9" s="32" t="s">
        <v>173</v>
      </c>
      <c r="B9" s="14">
        <v>17</v>
      </c>
      <c r="C9" s="14" t="str">
        <f t="shared" si="0"/>
        <v>13,5</v>
      </c>
      <c r="D9" s="3">
        <v>1</v>
      </c>
      <c r="E9" s="3" t="str">
        <f t="shared" si="1"/>
        <v>1,5</v>
      </c>
      <c r="F9" s="14">
        <v>22.9</v>
      </c>
      <c r="G9" s="14" t="str">
        <f t="shared" si="2"/>
        <v>10,125</v>
      </c>
      <c r="H9" s="3">
        <v>1</v>
      </c>
      <c r="I9" s="3" t="str">
        <f t="shared" si="3"/>
        <v>1,5</v>
      </c>
      <c r="J9" s="12">
        <v>6.3E-2</v>
      </c>
      <c r="K9" s="20">
        <f t="shared" si="4"/>
        <v>2.5</v>
      </c>
      <c r="L9" s="12">
        <v>2.6379999999999999</v>
      </c>
      <c r="M9" s="20">
        <f t="shared" si="5"/>
        <v>5</v>
      </c>
      <c r="N9" s="14">
        <v>-11.39</v>
      </c>
      <c r="O9" s="14">
        <f t="shared" si="6"/>
        <v>2.25</v>
      </c>
      <c r="P9" s="14">
        <v>0</v>
      </c>
      <c r="Q9" s="14" t="str">
        <f t="shared" si="7"/>
        <v>0</v>
      </c>
      <c r="R9" s="12">
        <v>0.14530000000000001</v>
      </c>
      <c r="S9" s="12" t="str">
        <f t="shared" si="8"/>
        <v>9</v>
      </c>
      <c r="T9" s="22">
        <v>1</v>
      </c>
      <c r="U9" s="12" t="str">
        <f t="shared" si="9"/>
        <v>1</v>
      </c>
      <c r="V9" s="12">
        <v>0.10299999999999999</v>
      </c>
      <c r="W9" s="12" t="str">
        <f t="shared" si="10"/>
        <v>13,5</v>
      </c>
      <c r="X9" s="22">
        <v>1</v>
      </c>
      <c r="Y9" s="12" t="str">
        <f t="shared" si="11"/>
        <v>1,5</v>
      </c>
      <c r="Z9" s="12">
        <v>9.5899999999999999E-2</v>
      </c>
      <c r="AA9" s="12" t="str">
        <f t="shared" si="12"/>
        <v>13,5</v>
      </c>
      <c r="AB9" s="22">
        <v>1</v>
      </c>
      <c r="AC9" s="12" t="str">
        <f t="shared" si="13"/>
        <v>1,5</v>
      </c>
      <c r="AD9" s="13">
        <v>1.1148</v>
      </c>
      <c r="AE9" s="20">
        <f t="shared" si="14"/>
        <v>2.25</v>
      </c>
      <c r="AF9" s="22">
        <v>1</v>
      </c>
      <c r="AG9" s="13" t="str">
        <f t="shared" si="15"/>
        <v>0,5</v>
      </c>
      <c r="AH9" s="12">
        <v>0.2039</v>
      </c>
      <c r="AI9" s="20">
        <f>IF(AH9&gt;QUARTILE($AH$4:$AH$13,3),$B$77,IF(AND(AH9&lt;=QUARTILE($AH$4:$AH$13,3),AH9&gt;QUARTILE($AH$4:$AH$13,2)),$B$76,IF(AND(AH9&lt;=QUARTILE(AH9:$AH$13,2),AH9&gt;QUARTILE($AH$4:$AH$13,1)),$B$75,$B$74)))</f>
        <v>9</v>
      </c>
      <c r="AJ9" s="3">
        <v>1</v>
      </c>
      <c r="AK9" s="3" t="str">
        <f t="shared" si="16"/>
        <v>1</v>
      </c>
      <c r="AL9" s="10">
        <f t="shared" si="17"/>
        <v>89.125</v>
      </c>
      <c r="AM9" s="2" t="s">
        <v>69</v>
      </c>
    </row>
    <row r="10" spans="1:39">
      <c r="A10" s="32" t="s">
        <v>172</v>
      </c>
      <c r="B10" s="14">
        <v>1.3</v>
      </c>
      <c r="C10" s="14" t="str">
        <f t="shared" si="0"/>
        <v>10,125</v>
      </c>
      <c r="D10" s="3">
        <v>0</v>
      </c>
      <c r="E10" s="3" t="str">
        <f t="shared" si="1"/>
        <v>0</v>
      </c>
      <c r="F10" s="14">
        <v>1</v>
      </c>
      <c r="G10" s="14" t="str">
        <f t="shared" si="2"/>
        <v>6,75</v>
      </c>
      <c r="H10" s="3">
        <v>0</v>
      </c>
      <c r="I10" s="3" t="str">
        <f t="shared" si="3"/>
        <v>0</v>
      </c>
      <c r="J10" s="12">
        <v>7.7299999999999994E-2</v>
      </c>
      <c r="K10" s="20">
        <f t="shared" si="4"/>
        <v>2.5</v>
      </c>
      <c r="L10" s="12">
        <v>-0.44600000000000001</v>
      </c>
      <c r="M10" s="20">
        <f t="shared" si="5"/>
        <v>1.25</v>
      </c>
      <c r="N10" s="14">
        <v>-18.64</v>
      </c>
      <c r="O10" s="14">
        <f t="shared" si="6"/>
        <v>2.25</v>
      </c>
      <c r="P10" s="14">
        <v>0</v>
      </c>
      <c r="Q10" s="14" t="str">
        <f t="shared" si="7"/>
        <v>0</v>
      </c>
      <c r="R10" s="12">
        <v>0.27039999999999997</v>
      </c>
      <c r="S10" s="12" t="str">
        <f t="shared" si="8"/>
        <v>9</v>
      </c>
      <c r="T10" s="22">
        <v>1</v>
      </c>
      <c r="U10" s="12" t="str">
        <f t="shared" si="9"/>
        <v>1</v>
      </c>
      <c r="V10" s="12">
        <v>5.5E-2</v>
      </c>
      <c r="W10" s="12" t="str">
        <f t="shared" si="10"/>
        <v>10,125</v>
      </c>
      <c r="X10" s="22">
        <v>0</v>
      </c>
      <c r="Y10" s="12" t="str">
        <f t="shared" si="11"/>
        <v>0</v>
      </c>
      <c r="Z10" s="12">
        <v>3.3000000000000002E-2</v>
      </c>
      <c r="AA10" s="12" t="str">
        <f t="shared" si="12"/>
        <v>13,5</v>
      </c>
      <c r="AB10" s="22">
        <v>0</v>
      </c>
      <c r="AC10" s="12" t="str">
        <f t="shared" si="13"/>
        <v>0</v>
      </c>
      <c r="AD10" s="13">
        <v>1.0582</v>
      </c>
      <c r="AE10" s="20">
        <f t="shared" si="14"/>
        <v>1.125</v>
      </c>
      <c r="AF10" s="22">
        <v>0</v>
      </c>
      <c r="AG10" s="13" t="str">
        <f t="shared" si="15"/>
        <v>0</v>
      </c>
      <c r="AH10" s="12">
        <v>1.5900000000000001E-2</v>
      </c>
      <c r="AI10" s="20">
        <f>IF(AH10&gt;QUARTILE($AH$4:$AH$13,3),$B$77,IF(AND(AH10&lt;=QUARTILE($AH$4:$AH$13,3),AH10&gt;QUARTILE($AH$4:$AH$13,2)),$B$76,IF(AND(AH10&lt;=QUARTILE(AH10:$AH$13,2),AH10&gt;QUARTILE($AH$4:$AH$13,1)),$B$75,$B$74)))</f>
        <v>2.25</v>
      </c>
      <c r="AJ10" s="3">
        <v>0</v>
      </c>
      <c r="AK10" s="3" t="str">
        <f t="shared" si="16"/>
        <v>0</v>
      </c>
      <c r="AL10" s="10">
        <f t="shared" si="17"/>
        <v>59.875</v>
      </c>
      <c r="AM10" s="2" t="s">
        <v>79</v>
      </c>
    </row>
    <row r="11" spans="1:39">
      <c r="A11" s="32" t="s">
        <v>171</v>
      </c>
      <c r="B11" s="14">
        <v>1.3</v>
      </c>
      <c r="C11" s="14" t="str">
        <f t="shared" si="0"/>
        <v>10,125</v>
      </c>
      <c r="D11" s="3">
        <v>1</v>
      </c>
      <c r="E11" s="3" t="str">
        <f t="shared" si="1"/>
        <v>1,5</v>
      </c>
      <c r="F11" s="14">
        <v>0.5</v>
      </c>
      <c r="G11" s="14" t="str">
        <f t="shared" si="2"/>
        <v>6,75</v>
      </c>
      <c r="H11" s="3">
        <v>1</v>
      </c>
      <c r="I11" s="3" t="str">
        <f t="shared" si="3"/>
        <v>1,5</v>
      </c>
      <c r="J11" s="12">
        <v>9.11E-2</v>
      </c>
      <c r="K11" s="20">
        <f t="shared" si="4"/>
        <v>3.75</v>
      </c>
      <c r="L11" s="12">
        <v>1.18</v>
      </c>
      <c r="M11" s="20">
        <f t="shared" si="5"/>
        <v>5</v>
      </c>
      <c r="N11" s="14">
        <v>-144.52000000000001</v>
      </c>
      <c r="O11" s="14">
        <f t="shared" si="6"/>
        <v>4.5</v>
      </c>
      <c r="P11" s="14">
        <v>1</v>
      </c>
      <c r="Q11" s="14" t="str">
        <f t="shared" si="7"/>
        <v>0,5</v>
      </c>
      <c r="R11" s="12">
        <v>0.3458</v>
      </c>
      <c r="S11" s="12" t="str">
        <f t="shared" si="8"/>
        <v>9</v>
      </c>
      <c r="T11" s="22">
        <v>1</v>
      </c>
      <c r="U11" s="12" t="str">
        <f t="shared" si="9"/>
        <v>1</v>
      </c>
      <c r="V11" s="12">
        <v>0.1212</v>
      </c>
      <c r="W11" s="12" t="str">
        <f t="shared" si="10"/>
        <v>13,5</v>
      </c>
      <c r="X11" s="22">
        <v>1</v>
      </c>
      <c r="Y11" s="12" t="str">
        <f t="shared" si="11"/>
        <v>1,5</v>
      </c>
      <c r="Z11" s="12">
        <v>1.4E-2</v>
      </c>
      <c r="AA11" s="12" t="str">
        <f t="shared" si="12"/>
        <v>10,125</v>
      </c>
      <c r="AB11" s="22">
        <v>1</v>
      </c>
      <c r="AC11" s="12" t="str">
        <f t="shared" si="13"/>
        <v>1,5</v>
      </c>
      <c r="AD11" s="13">
        <v>1.1378999999999999</v>
      </c>
      <c r="AE11" s="20">
        <f t="shared" si="14"/>
        <v>2.25</v>
      </c>
      <c r="AF11" s="22">
        <v>1</v>
      </c>
      <c r="AG11" s="13" t="str">
        <f t="shared" si="15"/>
        <v>0,5</v>
      </c>
      <c r="AH11" s="12">
        <v>1.72E-2</v>
      </c>
      <c r="AI11" s="20">
        <f>IF(AH11&gt;QUARTILE($AH$4:$AH$13,3),$B$77,IF(AND(AH11&lt;=QUARTILE($AH$4:$AH$13,3),AH11&gt;QUARTILE($AH$4:$AH$13,2)),$B$76,IF(AND(AH11&lt;=QUARTILE(AH11:$AH$13,2),AH11&gt;QUARTILE($AH$4:$AH$13,1)),$B$75,$B$74)))</f>
        <v>2.25</v>
      </c>
      <c r="AJ11" s="3">
        <v>1</v>
      </c>
      <c r="AK11" s="3" t="str">
        <f t="shared" si="16"/>
        <v>1</v>
      </c>
      <c r="AL11" s="10">
        <f t="shared" si="17"/>
        <v>76.25</v>
      </c>
      <c r="AM11" s="2" t="s">
        <v>71</v>
      </c>
    </row>
    <row r="12" spans="1:39">
      <c r="A12" s="32" t="s">
        <v>170</v>
      </c>
      <c r="B12" s="14">
        <v>16.8</v>
      </c>
      <c r="C12" s="14" t="str">
        <f t="shared" si="0"/>
        <v>13,5</v>
      </c>
      <c r="D12" s="3">
        <v>1</v>
      </c>
      <c r="E12" s="3" t="str">
        <f t="shared" si="1"/>
        <v>1,5</v>
      </c>
      <c r="F12" s="14">
        <v>81.599999999999994</v>
      </c>
      <c r="G12" s="14" t="str">
        <f t="shared" si="2"/>
        <v>13,5</v>
      </c>
      <c r="H12" s="3">
        <v>1</v>
      </c>
      <c r="I12" s="3" t="str">
        <f t="shared" si="3"/>
        <v>1,5</v>
      </c>
      <c r="J12" s="12">
        <v>0.38300000000000001</v>
      </c>
      <c r="K12" s="20">
        <f t="shared" si="4"/>
        <v>5</v>
      </c>
      <c r="L12" s="12">
        <v>4.84</v>
      </c>
      <c r="M12" s="20">
        <f t="shared" si="5"/>
        <v>5</v>
      </c>
      <c r="N12" s="14">
        <v>6.4</v>
      </c>
      <c r="O12" s="14">
        <f t="shared" si="6"/>
        <v>1.125</v>
      </c>
      <c r="P12" s="14">
        <v>1</v>
      </c>
      <c r="Q12" s="14" t="str">
        <f t="shared" si="7"/>
        <v>0,5</v>
      </c>
      <c r="R12" s="12">
        <v>0.37880000000000003</v>
      </c>
      <c r="S12" s="12" t="str">
        <f t="shared" si="8"/>
        <v>9</v>
      </c>
      <c r="T12" s="22">
        <v>1</v>
      </c>
      <c r="U12" s="12" t="str">
        <f t="shared" si="9"/>
        <v>1</v>
      </c>
      <c r="V12" s="12">
        <v>0.37209999999999999</v>
      </c>
      <c r="W12" s="12" t="str">
        <f t="shared" si="10"/>
        <v>13,5</v>
      </c>
      <c r="X12" s="22">
        <v>1</v>
      </c>
      <c r="Y12" s="12" t="str">
        <f t="shared" si="11"/>
        <v>1,5</v>
      </c>
      <c r="Z12" s="12">
        <v>0.38940000000000002</v>
      </c>
      <c r="AA12" s="12" t="str">
        <f t="shared" si="12"/>
        <v>13,5</v>
      </c>
      <c r="AB12" s="22">
        <v>1</v>
      </c>
      <c r="AC12" s="12" t="str">
        <f t="shared" si="13"/>
        <v>1,5</v>
      </c>
      <c r="AD12" s="13">
        <v>1.5931999999999999</v>
      </c>
      <c r="AE12" s="20">
        <f t="shared" si="14"/>
        <v>4.5</v>
      </c>
      <c r="AF12" s="22">
        <v>1</v>
      </c>
      <c r="AG12" s="13" t="str">
        <f t="shared" si="15"/>
        <v>0,5</v>
      </c>
      <c r="AH12" s="12">
        <v>0.1583</v>
      </c>
      <c r="AI12" s="20">
        <f>IF(AH12&gt;QUARTILE($AH$4:$AH$13,3),$B$77,IF(AND(AH12&lt;=QUARTILE($AH$4:$AH$13,3),AH12&gt;QUARTILE($AH$4:$AH$13,2)),$B$76,IF(AND(AH12&lt;=QUARTILE(AH12:$AH$13,2),AH12&gt;QUARTILE($AH$4:$AH$13,1)),$B$75,$B$74)))</f>
        <v>9</v>
      </c>
      <c r="AJ12" s="3">
        <v>1</v>
      </c>
      <c r="AK12" s="3" t="str">
        <f t="shared" si="16"/>
        <v>1</v>
      </c>
      <c r="AL12" s="10">
        <f t="shared" si="17"/>
        <v>96.625</v>
      </c>
      <c r="AM12" s="2" t="s">
        <v>77</v>
      </c>
    </row>
    <row r="13" spans="1:39">
      <c r="A13" s="32" t="s">
        <v>169</v>
      </c>
      <c r="B13" s="14">
        <v>5.0999999999999996</v>
      </c>
      <c r="C13" s="14" t="str">
        <f t="shared" si="0"/>
        <v>13,5</v>
      </c>
      <c r="D13" s="3">
        <v>1</v>
      </c>
      <c r="E13" s="3" t="str">
        <f t="shared" si="1"/>
        <v>1,5</v>
      </c>
      <c r="F13" s="14">
        <v>5.8</v>
      </c>
      <c r="G13" s="14" t="str">
        <f t="shared" si="2"/>
        <v>6,75</v>
      </c>
      <c r="H13" s="3">
        <v>1</v>
      </c>
      <c r="I13" s="3" t="str">
        <f t="shared" si="3"/>
        <v>1,5</v>
      </c>
      <c r="J13" s="12">
        <v>4.7500000000000001E-2</v>
      </c>
      <c r="K13" s="20">
        <f t="shared" si="4"/>
        <v>1.25</v>
      </c>
      <c r="L13" s="12">
        <v>0.222</v>
      </c>
      <c r="M13" s="20">
        <f t="shared" si="5"/>
        <v>2.5</v>
      </c>
      <c r="N13" s="14">
        <v>13.81</v>
      </c>
      <c r="O13" s="14">
        <f t="shared" si="6"/>
        <v>1.125</v>
      </c>
      <c r="P13" s="14">
        <v>1</v>
      </c>
      <c r="Q13" s="14" t="str">
        <f t="shared" si="7"/>
        <v>0,5</v>
      </c>
      <c r="R13" s="12">
        <v>0.31819999999999998</v>
      </c>
      <c r="S13" s="12" t="str">
        <f t="shared" si="8"/>
        <v>9</v>
      </c>
      <c r="T13" s="22">
        <v>1</v>
      </c>
      <c r="U13" s="12" t="str">
        <f t="shared" si="9"/>
        <v>1</v>
      </c>
      <c r="V13" s="12">
        <v>0.1817</v>
      </c>
      <c r="W13" s="12" t="str">
        <f t="shared" si="10"/>
        <v>13,5</v>
      </c>
      <c r="X13" s="22">
        <v>1</v>
      </c>
      <c r="Y13" s="12" t="str">
        <f t="shared" si="11"/>
        <v>1,5</v>
      </c>
      <c r="Z13" s="12">
        <v>0.14699999999999999</v>
      </c>
      <c r="AA13" s="12" t="str">
        <f t="shared" si="12"/>
        <v>13,5</v>
      </c>
      <c r="AB13" s="22">
        <v>1</v>
      </c>
      <c r="AC13" s="12" t="str">
        <f t="shared" si="13"/>
        <v>1,5</v>
      </c>
      <c r="AD13" s="13">
        <v>1.2221</v>
      </c>
      <c r="AE13" s="20">
        <f t="shared" si="14"/>
        <v>3.375</v>
      </c>
      <c r="AF13" s="22">
        <v>1</v>
      </c>
      <c r="AG13" s="13" t="str">
        <f t="shared" si="15"/>
        <v>0,5</v>
      </c>
      <c r="AH13" s="12">
        <v>6.1199999999999997E-2</v>
      </c>
      <c r="AI13" s="20">
        <f>IF(AH13&gt;QUARTILE($AH$4:$AH$13,3),$B$77,IF(AND(AH13&lt;=QUARTILE($AH$4:$AH$13,3),AH13&gt;QUARTILE($AH$4:$AH$13,2)),$B$76,IF(AND(AH13&lt;=QUARTILE(AH13:$AH$13,2),AH13&gt;QUARTILE($AH$4:$AH$13,1)),$B$75,$B$74)))</f>
        <v>4.5</v>
      </c>
      <c r="AJ13" s="3">
        <v>1</v>
      </c>
      <c r="AK13" s="3" t="str">
        <f t="shared" si="16"/>
        <v>1</v>
      </c>
      <c r="AL13" s="10">
        <f t="shared" si="17"/>
        <v>78</v>
      </c>
      <c r="AM13" s="2" t="s">
        <v>73</v>
      </c>
    </row>
    <row r="14" spans="1:39">
      <c r="A14" s="31"/>
      <c r="B14" s="14"/>
      <c r="C14" s="14"/>
      <c r="AA14" s="12"/>
      <c r="AM14" s="7"/>
    </row>
    <row r="15" spans="1:39">
      <c r="A15" s="31"/>
      <c r="AD15" s="2"/>
    </row>
    <row r="16" spans="1:39">
      <c r="AD16" s="2"/>
      <c r="AE16" s="30"/>
      <c r="AF16" s="30"/>
    </row>
    <row r="17" spans="1:32" ht="18.75">
      <c r="A17" s="17" t="s">
        <v>60</v>
      </c>
      <c r="B17" s="17" t="s">
        <v>59</v>
      </c>
      <c r="C17" s="17"/>
      <c r="D17" s="17"/>
      <c r="E17" s="17"/>
      <c r="F17" s="17" t="s">
        <v>58</v>
      </c>
      <c r="G17" s="17"/>
      <c r="H17" s="16"/>
      <c r="I17" s="16"/>
      <c r="J17" s="16"/>
      <c r="K17" s="16"/>
      <c r="L17" s="16" t="s">
        <v>57</v>
      </c>
      <c r="M17" s="16"/>
      <c r="AD17" s="2"/>
      <c r="AE17" s="30"/>
      <c r="AF17" s="30"/>
    </row>
    <row r="18" spans="1:32" ht="17.25">
      <c r="A18" s="11" t="s">
        <v>56</v>
      </c>
      <c r="B18" s="9">
        <v>13.5</v>
      </c>
      <c r="C18" s="9"/>
      <c r="D18" s="10"/>
      <c r="E18" s="10"/>
      <c r="F18" s="9">
        <v>1.5</v>
      </c>
      <c r="G18" s="9"/>
      <c r="H18" s="8"/>
      <c r="I18" s="8"/>
      <c r="J18" s="8"/>
      <c r="K18" s="8"/>
      <c r="L18" s="9">
        <v>15</v>
      </c>
      <c r="M18" s="9"/>
      <c r="AD18" s="2"/>
      <c r="AE18" s="30"/>
      <c r="AF18" s="30"/>
    </row>
    <row r="19" spans="1:32">
      <c r="A19" t="s">
        <v>168</v>
      </c>
      <c r="B19" s="3">
        <v>3.375</v>
      </c>
      <c r="C19" s="3"/>
      <c r="D19" s="3"/>
      <c r="E19" s="3"/>
      <c r="F19" s="3" t="s">
        <v>7</v>
      </c>
      <c r="G19" s="3"/>
      <c r="H19">
        <v>1.5</v>
      </c>
      <c r="AD19" s="2"/>
      <c r="AE19" s="30"/>
      <c r="AF19" s="30"/>
    </row>
    <row r="20" spans="1:32">
      <c r="A20" t="s">
        <v>167</v>
      </c>
      <c r="B20" s="3">
        <v>6.75</v>
      </c>
      <c r="C20" s="3"/>
      <c r="D20" s="3"/>
      <c r="E20" s="3"/>
      <c r="F20" s="3" t="s">
        <v>4</v>
      </c>
      <c r="G20" s="3"/>
      <c r="H20">
        <v>0</v>
      </c>
      <c r="AD20" s="2"/>
      <c r="AE20" s="30"/>
      <c r="AF20" s="30"/>
    </row>
    <row r="21" spans="1:32">
      <c r="A21" t="s">
        <v>166</v>
      </c>
      <c r="B21" s="3">
        <v>10.125</v>
      </c>
      <c r="C21" s="3"/>
      <c r="D21" s="3"/>
      <c r="E21" s="3"/>
      <c r="F21" s="3"/>
      <c r="G21" s="3"/>
      <c r="AD21" s="2"/>
      <c r="AE21" s="30"/>
      <c r="AF21" s="30"/>
    </row>
    <row r="22" spans="1:32">
      <c r="A22" t="s">
        <v>165</v>
      </c>
      <c r="B22" s="3">
        <v>13.5</v>
      </c>
      <c r="C22" s="3"/>
      <c r="D22" s="3"/>
      <c r="E22" s="3"/>
      <c r="F22" s="3"/>
      <c r="G22" s="3"/>
      <c r="AD22" s="2"/>
      <c r="AE22" s="30"/>
      <c r="AF22" s="30"/>
    </row>
    <row r="23" spans="1:32">
      <c r="B23" s="3"/>
      <c r="C23" s="3"/>
      <c r="D23" s="3"/>
      <c r="E23" s="3"/>
      <c r="F23" s="3"/>
      <c r="G23" s="3"/>
      <c r="AD23" s="2"/>
      <c r="AE23" s="30"/>
      <c r="AF23" s="30"/>
    </row>
    <row r="24" spans="1:32" ht="17.25">
      <c r="A24" s="11" t="s">
        <v>51</v>
      </c>
      <c r="B24" s="9">
        <v>13.5</v>
      </c>
      <c r="C24" s="9"/>
      <c r="D24" s="10"/>
      <c r="E24" s="10"/>
      <c r="F24" s="9">
        <v>1.5</v>
      </c>
      <c r="G24" s="9"/>
      <c r="H24" s="8"/>
      <c r="L24" s="9">
        <v>15</v>
      </c>
      <c r="AD24" s="2"/>
      <c r="AE24" s="30"/>
      <c r="AF24" s="30"/>
    </row>
    <row r="25" spans="1:32">
      <c r="A25" t="s">
        <v>164</v>
      </c>
      <c r="B25" s="3">
        <v>3.375</v>
      </c>
      <c r="C25" s="3"/>
      <c r="D25" s="3"/>
      <c r="E25" s="3"/>
      <c r="F25" s="3" t="s">
        <v>7</v>
      </c>
      <c r="G25" s="3"/>
      <c r="H25">
        <v>1.5</v>
      </c>
      <c r="I25" s="8"/>
      <c r="J25" s="8"/>
      <c r="K25" s="8"/>
      <c r="L25" s="9"/>
      <c r="M25" s="9"/>
      <c r="AD25" s="2"/>
      <c r="AE25" s="30"/>
      <c r="AF25" s="30"/>
    </row>
    <row r="26" spans="1:32">
      <c r="A26" t="s">
        <v>163</v>
      </c>
      <c r="B26" s="3">
        <v>6.75</v>
      </c>
      <c r="C26" s="3"/>
      <c r="D26" s="3"/>
      <c r="E26" s="3"/>
      <c r="F26" s="3" t="s">
        <v>4</v>
      </c>
      <c r="G26" s="3"/>
      <c r="H26">
        <v>0</v>
      </c>
      <c r="AD26" s="2"/>
      <c r="AE26" s="30"/>
      <c r="AF26" s="30"/>
    </row>
    <row r="27" spans="1:32">
      <c r="A27" t="s">
        <v>162</v>
      </c>
      <c r="B27" s="3">
        <v>10.125</v>
      </c>
      <c r="C27" s="3"/>
      <c r="D27" s="3"/>
      <c r="E27" s="3"/>
      <c r="F27" s="3"/>
      <c r="G27" s="3"/>
      <c r="AD27" s="2"/>
      <c r="AE27" s="30"/>
      <c r="AF27" s="30"/>
    </row>
    <row r="28" spans="1:32">
      <c r="A28" t="s">
        <v>161</v>
      </c>
      <c r="B28" s="3">
        <v>13.5</v>
      </c>
      <c r="C28" s="3"/>
      <c r="D28" s="3"/>
      <c r="E28" s="3"/>
      <c r="F28" s="3"/>
      <c r="G28" s="3"/>
      <c r="AD28" s="2"/>
      <c r="AE28" s="30"/>
      <c r="AF28" s="30"/>
    </row>
    <row r="29" spans="1:32">
      <c r="C29" s="3"/>
      <c r="D29" s="3"/>
      <c r="E29" s="3"/>
      <c r="F29" s="3"/>
      <c r="G29" s="3"/>
      <c r="AD29" s="2"/>
      <c r="AE29" s="30"/>
      <c r="AF29" s="30"/>
    </row>
    <row r="30" spans="1:32">
      <c r="B30" s="3"/>
      <c r="C30" s="3"/>
      <c r="D30" s="3"/>
      <c r="E30" s="3"/>
      <c r="F30" s="3"/>
      <c r="G30" s="3"/>
      <c r="AD30" s="2"/>
      <c r="AE30" s="30"/>
      <c r="AF30" s="30"/>
    </row>
    <row r="31" spans="1:32" ht="17.25">
      <c r="A31" s="11" t="s">
        <v>46</v>
      </c>
      <c r="B31" s="5">
        <v>5</v>
      </c>
      <c r="C31" s="5"/>
      <c r="D31" s="3" t="s">
        <v>10</v>
      </c>
      <c r="E31" s="3"/>
      <c r="F31" s="3"/>
      <c r="G31" s="3"/>
      <c r="L31" s="2">
        <v>5</v>
      </c>
      <c r="M31" s="2"/>
    </row>
    <row r="32" spans="1:32">
      <c r="A32" t="s">
        <v>160</v>
      </c>
      <c r="B32" s="3">
        <v>1.25</v>
      </c>
      <c r="C32" s="3"/>
      <c r="D32" s="3" t="s">
        <v>8</v>
      </c>
      <c r="E32" s="4">
        <f>QUARTILE(J4:J13,1)</f>
        <v>5.4074999999999998E-2</v>
      </c>
      <c r="F32" s="3"/>
      <c r="G32" s="3"/>
    </row>
    <row r="33" spans="1:13">
      <c r="A33" t="s">
        <v>159</v>
      </c>
      <c r="B33" s="3">
        <v>2.5</v>
      </c>
      <c r="C33" s="3"/>
      <c r="D33" s="3" t="s">
        <v>5</v>
      </c>
      <c r="E33" s="4">
        <f>QUARTILE(J4:J13,2)</f>
        <v>8.4199999999999997E-2</v>
      </c>
      <c r="F33" s="3"/>
      <c r="G33" s="3"/>
    </row>
    <row r="34" spans="1:13">
      <c r="A34" t="s">
        <v>158</v>
      </c>
      <c r="B34" s="3">
        <v>3.75</v>
      </c>
      <c r="C34" s="3"/>
      <c r="D34" s="3" t="s">
        <v>2</v>
      </c>
      <c r="E34" s="4">
        <f>QUARTILE(J4:J13,3)</f>
        <v>0.11175</v>
      </c>
      <c r="F34" s="3"/>
      <c r="G34" s="3"/>
    </row>
    <row r="35" spans="1:13">
      <c r="A35" t="s">
        <v>157</v>
      </c>
      <c r="B35" s="3">
        <v>5</v>
      </c>
      <c r="C35" s="3"/>
      <c r="D35" s="3"/>
      <c r="E35" s="4"/>
      <c r="F35" s="3"/>
      <c r="G35" s="3"/>
    </row>
    <row r="36" spans="1:13">
      <c r="B36" s="3"/>
      <c r="C36" s="3"/>
      <c r="D36" s="3"/>
      <c r="E36" s="4"/>
      <c r="F36" s="3"/>
      <c r="G36" s="3"/>
    </row>
    <row r="37" spans="1:13" ht="17.25">
      <c r="A37" s="11" t="s">
        <v>41</v>
      </c>
      <c r="B37" s="5">
        <v>5</v>
      </c>
      <c r="C37" s="5"/>
      <c r="D37" s="3" t="s">
        <v>10</v>
      </c>
      <c r="E37" s="4"/>
      <c r="F37" s="3"/>
      <c r="G37" s="3"/>
      <c r="L37" s="2">
        <v>5</v>
      </c>
      <c r="M37" s="2"/>
    </row>
    <row r="38" spans="1:13">
      <c r="A38" t="s">
        <v>156</v>
      </c>
      <c r="B38" s="3">
        <v>1.25</v>
      </c>
      <c r="C38" s="3"/>
      <c r="D38" s="3" t="s">
        <v>8</v>
      </c>
      <c r="E38" s="4">
        <f>QUARTILE(L4:L13,1)</f>
        <v>0.10405</v>
      </c>
      <c r="F38" s="3"/>
      <c r="G38" s="3"/>
    </row>
    <row r="39" spans="1:13">
      <c r="A39" t="s">
        <v>155</v>
      </c>
      <c r="B39" s="3">
        <v>2.5</v>
      </c>
      <c r="C39" s="3"/>
      <c r="D39" s="3" t="s">
        <v>5</v>
      </c>
      <c r="E39" s="4">
        <f>QUARTILE(L4:L13,2)</f>
        <v>0.29135</v>
      </c>
      <c r="F39" s="3"/>
      <c r="G39" s="3"/>
    </row>
    <row r="40" spans="1:13">
      <c r="A40" t="s">
        <v>154</v>
      </c>
      <c r="B40" s="3">
        <v>3.75</v>
      </c>
      <c r="C40" s="3"/>
      <c r="D40" s="3" t="s">
        <v>2</v>
      </c>
      <c r="E40" s="4">
        <f>QUARTILE(L4:L13,3)</f>
        <v>1.0010999999999999</v>
      </c>
      <c r="F40" s="3"/>
      <c r="G40" s="3"/>
    </row>
    <row r="41" spans="1:13">
      <c r="A41" t="s">
        <v>153</v>
      </c>
      <c r="B41" s="3">
        <v>5</v>
      </c>
      <c r="C41" s="3"/>
      <c r="D41" s="3"/>
      <c r="E41" s="3"/>
      <c r="F41" s="3"/>
      <c r="G41" s="3"/>
    </row>
    <row r="42" spans="1:13">
      <c r="B42" s="3"/>
      <c r="C42" s="3"/>
      <c r="D42" s="3"/>
      <c r="E42" s="3"/>
      <c r="F42" s="3"/>
      <c r="G42" s="3"/>
    </row>
    <row r="43" spans="1:13" ht="34.5">
      <c r="A43" s="6" t="s">
        <v>36</v>
      </c>
      <c r="B43" s="5">
        <v>4.5</v>
      </c>
      <c r="C43" s="5"/>
      <c r="D43" s="3" t="s">
        <v>10</v>
      </c>
      <c r="E43" s="5"/>
      <c r="F43" s="5">
        <v>0.5</v>
      </c>
      <c r="G43" s="5"/>
      <c r="H43" s="7"/>
      <c r="I43" s="7"/>
      <c r="J43" s="7"/>
      <c r="K43" s="7"/>
      <c r="L43" s="5">
        <v>5</v>
      </c>
      <c r="M43" s="5"/>
    </row>
    <row r="44" spans="1:13">
      <c r="A44" t="s">
        <v>152</v>
      </c>
      <c r="B44" s="3">
        <v>4.5</v>
      </c>
      <c r="C44" s="3"/>
      <c r="D44" s="3" t="s">
        <v>8</v>
      </c>
      <c r="E44" s="3">
        <f>QUARTILE(N4:N13,1)</f>
        <v>-36.865000000000002</v>
      </c>
      <c r="F44" s="502" t="s">
        <v>7</v>
      </c>
      <c r="G44" s="502"/>
      <c r="H44">
        <v>0.5</v>
      </c>
    </row>
    <row r="45" spans="1:13">
      <c r="A45" t="s">
        <v>151</v>
      </c>
      <c r="B45" s="3">
        <v>3.375</v>
      </c>
      <c r="C45" s="3"/>
      <c r="D45" s="3" t="s">
        <v>5</v>
      </c>
      <c r="E45" s="3">
        <f>QUARTILE(N4:N13,2)</f>
        <v>-20.28</v>
      </c>
      <c r="F45" s="502" t="s">
        <v>4</v>
      </c>
      <c r="G45" s="502"/>
      <c r="H45">
        <v>0</v>
      </c>
    </row>
    <row r="46" spans="1:13">
      <c r="A46" t="s">
        <v>150</v>
      </c>
      <c r="B46" s="3">
        <v>2.25</v>
      </c>
      <c r="C46" s="3"/>
      <c r="D46" s="3" t="s">
        <v>2</v>
      </c>
      <c r="E46" s="3">
        <f>QUARTILE(N4:N13,3)</f>
        <v>-5.8849999999999998</v>
      </c>
      <c r="F46" s="3"/>
      <c r="G46" s="3"/>
    </row>
    <row r="47" spans="1:13">
      <c r="A47" t="s">
        <v>149</v>
      </c>
      <c r="B47" s="3">
        <v>1.125</v>
      </c>
      <c r="C47" s="3"/>
      <c r="D47" s="3"/>
      <c r="E47" s="3"/>
      <c r="F47" s="3"/>
      <c r="G47" s="3"/>
    </row>
    <row r="48" spans="1:13">
      <c r="B48" s="3"/>
      <c r="C48" s="3"/>
      <c r="D48" s="3"/>
      <c r="E48" s="3"/>
      <c r="F48" s="3"/>
      <c r="G48" s="3"/>
    </row>
    <row r="49" spans="1:13" ht="34.5">
      <c r="A49" s="6" t="s">
        <v>31</v>
      </c>
      <c r="B49" s="5">
        <v>9</v>
      </c>
      <c r="C49" s="5"/>
      <c r="D49" s="5"/>
      <c r="E49" s="5"/>
      <c r="F49" s="5">
        <v>1</v>
      </c>
      <c r="G49" s="5"/>
      <c r="H49" s="7"/>
      <c r="I49" s="7"/>
      <c r="J49" s="7"/>
      <c r="K49" s="7"/>
      <c r="L49" s="5">
        <v>10</v>
      </c>
      <c r="M49" s="5"/>
    </row>
    <row r="50" spans="1:13">
      <c r="A50" t="s">
        <v>148</v>
      </c>
      <c r="B50" s="3">
        <v>2.25</v>
      </c>
      <c r="C50" s="3"/>
      <c r="D50" s="3"/>
      <c r="E50" s="3"/>
      <c r="F50" s="502" t="s">
        <v>7</v>
      </c>
      <c r="G50" s="502"/>
      <c r="H50">
        <v>1</v>
      </c>
    </row>
    <row r="51" spans="1:13">
      <c r="A51" t="s">
        <v>147</v>
      </c>
      <c r="B51" s="3">
        <v>4.5</v>
      </c>
      <c r="C51" s="3"/>
      <c r="D51" s="3"/>
      <c r="E51" s="3"/>
      <c r="F51" s="502" t="s">
        <v>4</v>
      </c>
      <c r="G51" s="502"/>
      <c r="H51">
        <v>0</v>
      </c>
    </row>
    <row r="52" spans="1:13">
      <c r="A52" t="s">
        <v>146</v>
      </c>
      <c r="B52" s="3">
        <v>6.75</v>
      </c>
      <c r="C52" s="3"/>
      <c r="D52" s="3"/>
      <c r="E52" s="3"/>
      <c r="F52" s="3"/>
      <c r="G52" s="3"/>
    </row>
    <row r="53" spans="1:13">
      <c r="A53" t="s">
        <v>145</v>
      </c>
      <c r="B53" s="3">
        <v>9</v>
      </c>
      <c r="C53" s="3"/>
      <c r="D53" s="3"/>
      <c r="E53" s="3"/>
      <c r="F53" s="3"/>
      <c r="G53" s="3"/>
    </row>
    <row r="54" spans="1:13">
      <c r="B54" s="3"/>
      <c r="C54" s="3"/>
      <c r="D54" s="3"/>
      <c r="E54" s="3"/>
      <c r="F54" s="3"/>
      <c r="G54" s="3"/>
    </row>
    <row r="55" spans="1:13" ht="34.5">
      <c r="A55" s="6" t="s">
        <v>26</v>
      </c>
      <c r="B55" s="9">
        <v>13.5</v>
      </c>
      <c r="C55" s="9"/>
      <c r="D55" s="10"/>
      <c r="E55" s="10"/>
      <c r="F55" s="9">
        <v>1.5</v>
      </c>
      <c r="G55" s="9"/>
      <c r="H55" s="8"/>
      <c r="I55" s="7"/>
      <c r="J55" s="7"/>
      <c r="K55" s="7"/>
      <c r="L55" s="5">
        <v>15</v>
      </c>
      <c r="M55" s="5"/>
    </row>
    <row r="56" spans="1:13">
      <c r="A56" t="s">
        <v>144</v>
      </c>
      <c r="B56" s="3">
        <v>3.375</v>
      </c>
      <c r="C56" s="3"/>
      <c r="D56" s="3"/>
      <c r="E56" s="3"/>
      <c r="F56" s="502" t="s">
        <v>7</v>
      </c>
      <c r="G56" s="502"/>
      <c r="H56">
        <v>1.5</v>
      </c>
    </row>
    <row r="57" spans="1:13">
      <c r="A57" t="s">
        <v>143</v>
      </c>
      <c r="B57" s="3">
        <v>6.75</v>
      </c>
      <c r="C57" s="3"/>
      <c r="D57" s="3"/>
      <c r="E57" s="3"/>
      <c r="F57" s="502" t="s">
        <v>4</v>
      </c>
      <c r="G57" s="502"/>
      <c r="H57">
        <v>0</v>
      </c>
    </row>
    <row r="58" spans="1:13">
      <c r="A58" t="s">
        <v>142</v>
      </c>
      <c r="B58" s="3">
        <v>10.125</v>
      </c>
      <c r="C58" s="3"/>
      <c r="D58" s="3"/>
      <c r="E58" s="3"/>
      <c r="F58" s="3"/>
      <c r="G58" s="3"/>
    </row>
    <row r="59" spans="1:13">
      <c r="A59" t="s">
        <v>141</v>
      </c>
      <c r="B59" s="3">
        <v>13.5</v>
      </c>
      <c r="C59" s="3"/>
      <c r="D59" s="3"/>
      <c r="E59" s="3"/>
      <c r="F59" s="3"/>
      <c r="G59" s="3"/>
    </row>
    <row r="60" spans="1:13">
      <c r="B60" s="3"/>
      <c r="C60" s="3"/>
      <c r="D60" s="3"/>
      <c r="E60" s="3"/>
      <c r="F60" s="3"/>
      <c r="G60" s="3"/>
    </row>
    <row r="61" spans="1:13" ht="17.25">
      <c r="A61" s="6" t="s">
        <v>21</v>
      </c>
      <c r="B61" s="9">
        <v>13.5</v>
      </c>
      <c r="C61" s="9"/>
      <c r="D61" s="10"/>
      <c r="E61" s="10"/>
      <c r="F61" s="9">
        <v>1.5</v>
      </c>
      <c r="G61" s="9"/>
      <c r="H61" s="8"/>
      <c r="I61" s="7"/>
      <c r="J61" s="7"/>
      <c r="K61" s="7"/>
      <c r="L61" s="5">
        <v>15</v>
      </c>
      <c r="M61" s="5"/>
    </row>
    <row r="62" spans="1:13">
      <c r="A62" t="s">
        <v>140</v>
      </c>
      <c r="B62" s="3">
        <v>3.375</v>
      </c>
      <c r="C62" s="3"/>
      <c r="D62" s="3"/>
      <c r="E62" s="3"/>
      <c r="F62" s="3" t="s">
        <v>7</v>
      </c>
      <c r="G62" s="3"/>
      <c r="H62">
        <v>1.5</v>
      </c>
    </row>
    <row r="63" spans="1:13">
      <c r="A63" t="s">
        <v>139</v>
      </c>
      <c r="B63" s="3">
        <v>6.75</v>
      </c>
      <c r="C63" s="3"/>
      <c r="D63" s="3"/>
      <c r="E63" s="3"/>
      <c r="F63" s="3" t="s">
        <v>4</v>
      </c>
      <c r="G63" s="3"/>
      <c r="H63">
        <v>0</v>
      </c>
    </row>
    <row r="64" spans="1:13">
      <c r="A64" t="s">
        <v>138</v>
      </c>
      <c r="B64" s="3">
        <v>10.125</v>
      </c>
      <c r="C64" s="3"/>
      <c r="D64" s="3"/>
      <c r="E64" s="3"/>
      <c r="F64" s="3"/>
      <c r="G64" s="3"/>
    </row>
    <row r="65" spans="1:13">
      <c r="A65" t="s">
        <v>137</v>
      </c>
      <c r="B65" s="3">
        <v>13.5</v>
      </c>
      <c r="C65" s="3"/>
      <c r="D65" s="3"/>
      <c r="E65" s="3"/>
      <c r="F65" s="3"/>
      <c r="G65" s="3"/>
    </row>
    <row r="66" spans="1:13">
      <c r="B66" s="3"/>
      <c r="C66" s="3"/>
      <c r="D66" s="3"/>
      <c r="E66" s="3"/>
      <c r="F66" s="3"/>
      <c r="G66" s="3"/>
    </row>
    <row r="67" spans="1:13" ht="34.5">
      <c r="A67" s="6" t="s">
        <v>16</v>
      </c>
      <c r="B67" s="5">
        <v>4.5</v>
      </c>
      <c r="C67" s="5"/>
      <c r="D67" s="3" t="s">
        <v>10</v>
      </c>
      <c r="E67" s="5"/>
      <c r="F67" s="5">
        <v>0.5</v>
      </c>
      <c r="G67" s="5"/>
      <c r="H67" s="7"/>
      <c r="I67" s="7"/>
      <c r="J67" s="7"/>
      <c r="K67" s="7"/>
      <c r="L67" s="5">
        <v>5</v>
      </c>
      <c r="M67" s="5"/>
    </row>
    <row r="68" spans="1:13">
      <c r="A68" t="s">
        <v>136</v>
      </c>
      <c r="B68" s="3">
        <v>1.125</v>
      </c>
      <c r="C68" s="3"/>
      <c r="D68" s="3" t="s">
        <v>8</v>
      </c>
      <c r="E68" s="3">
        <f>QUARTILE(AD4:AD13,1)</f>
        <v>1.1053500000000001</v>
      </c>
      <c r="F68" s="502" t="s">
        <v>7</v>
      </c>
      <c r="G68" s="502"/>
      <c r="H68">
        <v>0.5</v>
      </c>
    </row>
    <row r="69" spans="1:13">
      <c r="A69" t="s">
        <v>135</v>
      </c>
      <c r="B69" s="3">
        <v>2.25</v>
      </c>
      <c r="C69" s="3"/>
      <c r="D69" s="3" t="s">
        <v>5</v>
      </c>
      <c r="E69" s="3">
        <f>QUARTILE(AD4:AD13,2)</f>
        <v>1.1755499999999999</v>
      </c>
      <c r="F69" s="502" t="s">
        <v>4</v>
      </c>
      <c r="G69" s="502"/>
      <c r="H69">
        <v>0</v>
      </c>
    </row>
    <row r="70" spans="1:13">
      <c r="A70" t="s">
        <v>134</v>
      </c>
      <c r="B70" s="3">
        <v>3.375</v>
      </c>
      <c r="C70" s="3"/>
      <c r="D70" s="3" t="s">
        <v>2</v>
      </c>
      <c r="E70" s="3">
        <f>QUARTILE(AD4:AD13,3)</f>
        <v>1.2236750000000001</v>
      </c>
      <c r="F70" s="3"/>
      <c r="G70" s="3"/>
    </row>
    <row r="71" spans="1:13">
      <c r="A71" t="s">
        <v>133</v>
      </c>
      <c r="B71" s="3">
        <v>4.5</v>
      </c>
      <c r="C71" s="3"/>
      <c r="D71" s="3"/>
      <c r="E71" s="3"/>
      <c r="F71" s="3"/>
      <c r="G71" s="3"/>
    </row>
    <row r="72" spans="1:13">
      <c r="B72" s="3"/>
      <c r="C72" s="3"/>
      <c r="D72" s="3"/>
      <c r="E72" s="3"/>
      <c r="F72" s="3"/>
      <c r="G72" s="3"/>
    </row>
    <row r="73" spans="1:13" ht="17.25">
      <c r="A73" s="6" t="s">
        <v>11</v>
      </c>
      <c r="B73" s="5">
        <v>9</v>
      </c>
      <c r="C73" s="5"/>
      <c r="D73" s="3" t="s">
        <v>10</v>
      </c>
      <c r="E73" s="5"/>
      <c r="F73" s="5">
        <v>1</v>
      </c>
      <c r="G73" s="5"/>
      <c r="H73" s="5"/>
      <c r="I73" s="5"/>
      <c r="J73" s="5"/>
      <c r="K73" s="5"/>
      <c r="L73" s="5">
        <v>10</v>
      </c>
      <c r="M73" s="5"/>
    </row>
    <row r="74" spans="1:13">
      <c r="A74" t="s">
        <v>132</v>
      </c>
      <c r="B74" s="3">
        <v>2.25</v>
      </c>
      <c r="C74" s="3"/>
      <c r="D74" s="3" t="s">
        <v>8</v>
      </c>
      <c r="E74" s="4">
        <f>QUARTILE(AH4:AH13,1)</f>
        <v>2.205E-2</v>
      </c>
      <c r="F74" s="502" t="s">
        <v>7</v>
      </c>
      <c r="G74" s="502"/>
      <c r="H74">
        <v>1</v>
      </c>
    </row>
    <row r="75" spans="1:13">
      <c r="A75" t="s">
        <v>131</v>
      </c>
      <c r="B75" s="3">
        <v>4.5</v>
      </c>
      <c r="C75" s="3"/>
      <c r="D75" s="3" t="s">
        <v>5</v>
      </c>
      <c r="E75" s="4">
        <f>QUARTILE(AH4:AH13,2)</f>
        <v>6.6799999999999998E-2</v>
      </c>
      <c r="F75" s="502" t="s">
        <v>4</v>
      </c>
      <c r="G75" s="502"/>
      <c r="H75">
        <v>0</v>
      </c>
    </row>
    <row r="76" spans="1:13">
      <c r="A76" t="s">
        <v>130</v>
      </c>
      <c r="B76" s="3">
        <v>6.75</v>
      </c>
      <c r="C76" s="3"/>
      <c r="D76" s="3" t="s">
        <v>2</v>
      </c>
      <c r="E76" s="4">
        <f>QUARTILE(AH4:AH13,3)</f>
        <v>0.10277500000000001</v>
      </c>
      <c r="F76" s="3"/>
      <c r="G76" s="3"/>
    </row>
    <row r="77" spans="1:13">
      <c r="A77" t="s">
        <v>129</v>
      </c>
      <c r="B77" s="3">
        <v>9</v>
      </c>
      <c r="C77" s="3"/>
      <c r="D77" s="3"/>
      <c r="E77" s="3"/>
      <c r="F77" s="3"/>
      <c r="G77" s="3"/>
    </row>
    <row r="78" spans="1:13">
      <c r="B78" s="3"/>
      <c r="C78" s="3"/>
      <c r="D78" s="3"/>
      <c r="E78" s="3"/>
      <c r="F78" s="3"/>
      <c r="G78" s="3"/>
    </row>
    <row r="79" spans="1:13" ht="18.75">
      <c r="B79" s="504" t="s">
        <v>0</v>
      </c>
      <c r="C79" s="504"/>
      <c r="D79" s="504"/>
      <c r="E79" s="504"/>
      <c r="F79" s="504"/>
      <c r="G79" s="504"/>
      <c r="H79" s="504"/>
      <c r="I79" s="504"/>
      <c r="J79" s="504"/>
      <c r="K79" s="2"/>
      <c r="L79" s="1">
        <f>SUM(L18:L76)</f>
        <v>100</v>
      </c>
      <c r="M79" s="1"/>
    </row>
  </sheetData>
  <mergeCells count="12">
    <mergeCell ref="F74:G74"/>
    <mergeCell ref="F75:G75"/>
    <mergeCell ref="B79:J79"/>
    <mergeCell ref="A1:AJ2"/>
    <mergeCell ref="F44:G44"/>
    <mergeCell ref="F45:G45"/>
    <mergeCell ref="F50:G50"/>
    <mergeCell ref="F51:G51"/>
    <mergeCell ref="F56:G56"/>
    <mergeCell ref="F57:G57"/>
    <mergeCell ref="F68:G68"/>
    <mergeCell ref="F69:G69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M79"/>
  <sheetViews>
    <sheetView topLeftCell="A11" zoomScale="80" zoomScaleNormal="80" workbookViewId="0">
      <selection activeCell="A56" sqref="A56"/>
    </sheetView>
  </sheetViews>
  <sheetFormatPr defaultRowHeight="15"/>
  <cols>
    <col min="1" max="1" width="20.85546875" bestFit="1" customWidth="1"/>
    <col min="4" max="4" width="15" customWidth="1"/>
    <col min="5" max="5" width="10.5703125" customWidth="1"/>
    <col min="8" max="9" width="8" customWidth="1"/>
    <col min="10" max="10" width="16.28515625" customWidth="1"/>
    <col min="11" max="11" width="10" customWidth="1"/>
    <col min="12" max="12" width="15.85546875" customWidth="1"/>
    <col min="13" max="13" width="9.85546875" customWidth="1"/>
    <col min="14" max="14" width="14.28515625" customWidth="1"/>
    <col min="15" max="15" width="8.5703125" customWidth="1"/>
    <col min="16" max="16" width="6.7109375" customWidth="1"/>
    <col min="17" max="17" width="9" customWidth="1"/>
    <col min="18" max="18" width="14.5703125" customWidth="1"/>
    <col min="19" max="19" width="9.5703125" customWidth="1"/>
    <col min="20" max="20" width="7.7109375" customWidth="1"/>
    <col min="21" max="21" width="8.28515625" customWidth="1"/>
    <col min="22" max="22" width="20.5703125" customWidth="1"/>
    <col min="23" max="23" width="10" customWidth="1"/>
    <col min="24" max="24" width="7" customWidth="1"/>
    <col min="25" max="25" width="8.7109375" customWidth="1"/>
    <col min="28" max="28" width="6.42578125" customWidth="1"/>
    <col min="29" max="29" width="8.85546875" customWidth="1"/>
    <col min="30" max="30" width="13.5703125" customWidth="1"/>
    <col min="31" max="31" width="9.5703125" customWidth="1"/>
    <col min="32" max="33" width="8" customWidth="1"/>
    <col min="34" max="34" width="9.7109375" bestFit="1" customWidth="1"/>
    <col min="35" max="35" width="9.7109375" customWidth="1"/>
    <col min="36" max="36" width="7.85546875" customWidth="1"/>
    <col min="38" max="38" width="11.85546875" bestFit="1" customWidth="1"/>
  </cols>
  <sheetData>
    <row r="1" spans="1:39">
      <c r="A1" s="503" t="s">
        <v>180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9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9" ht="45" customHeight="1">
      <c r="A3" s="5" t="s">
        <v>97</v>
      </c>
      <c r="B3" s="5" t="s">
        <v>96</v>
      </c>
      <c r="C3" s="24" t="s">
        <v>93</v>
      </c>
      <c r="D3" s="24" t="s">
        <v>95</v>
      </c>
      <c r="E3" s="24" t="s">
        <v>93</v>
      </c>
      <c r="F3" s="5" t="s">
        <v>94</v>
      </c>
      <c r="G3" s="24" t="s">
        <v>83</v>
      </c>
      <c r="H3" s="24" t="s">
        <v>84</v>
      </c>
      <c r="I3" s="24" t="s">
        <v>93</v>
      </c>
      <c r="J3" s="5" t="s">
        <v>92</v>
      </c>
      <c r="K3" s="24" t="s">
        <v>83</v>
      </c>
      <c r="L3" s="25" t="s">
        <v>91</v>
      </c>
      <c r="M3" s="24" t="s">
        <v>83</v>
      </c>
      <c r="N3" s="24" t="s">
        <v>90</v>
      </c>
      <c r="O3" s="24" t="s">
        <v>83</v>
      </c>
      <c r="P3" s="24" t="s">
        <v>84</v>
      </c>
      <c r="Q3" s="24" t="s">
        <v>83</v>
      </c>
      <c r="R3" s="24" t="s">
        <v>89</v>
      </c>
      <c r="S3" s="24" t="s">
        <v>83</v>
      </c>
      <c r="T3" s="24" t="s">
        <v>84</v>
      </c>
      <c r="U3" s="24" t="s">
        <v>83</v>
      </c>
      <c r="V3" s="24" t="s">
        <v>88</v>
      </c>
      <c r="W3" s="24" t="s">
        <v>83</v>
      </c>
      <c r="X3" s="24" t="s">
        <v>84</v>
      </c>
      <c r="Y3" s="24" t="s">
        <v>83</v>
      </c>
      <c r="Z3" s="24" t="s">
        <v>87</v>
      </c>
      <c r="AA3" s="24" t="s">
        <v>83</v>
      </c>
      <c r="AB3" s="24" t="s">
        <v>84</v>
      </c>
      <c r="AC3" s="24" t="s">
        <v>83</v>
      </c>
      <c r="AD3" s="24" t="s">
        <v>86</v>
      </c>
      <c r="AE3" s="24" t="s">
        <v>83</v>
      </c>
      <c r="AF3" s="24" t="s">
        <v>84</v>
      </c>
      <c r="AG3" s="24" t="s">
        <v>83</v>
      </c>
      <c r="AH3" s="24" t="s">
        <v>85</v>
      </c>
      <c r="AI3" s="24" t="s">
        <v>83</v>
      </c>
      <c r="AJ3" s="24" t="s">
        <v>84</v>
      </c>
      <c r="AK3" s="24" t="s">
        <v>83</v>
      </c>
      <c r="AL3" s="24" t="s">
        <v>82</v>
      </c>
      <c r="AM3" s="24" t="s">
        <v>81</v>
      </c>
    </row>
    <row r="4" spans="1:39">
      <c r="A4" s="32" t="s">
        <v>178</v>
      </c>
      <c r="B4" s="14">
        <v>2.4</v>
      </c>
      <c r="C4" s="14" t="str">
        <f t="shared" ref="C4:C13" si="0">IF(B4&gt;3.2,"13,5",IF(B4&lt;=-17,"3,375",IF(AND(B4&gt;-17,B4&lt;=-0.1),"6,75","10,125")))</f>
        <v>10,125</v>
      </c>
      <c r="D4" s="3">
        <v>1</v>
      </c>
      <c r="E4" s="3" t="str">
        <f t="shared" ref="E4:E13" si="1">IF(D4=0,"0","1,5")</f>
        <v>1,5</v>
      </c>
      <c r="F4" s="14">
        <v>3.1</v>
      </c>
      <c r="G4" s="14" t="str">
        <f t="shared" ref="G4:G13" si="2">IF(F4&gt;47.15,"13,5",IF(F4&lt;=-2.175,"3,375",IF(AND(F4&gt;-2.175,F4&lt;=7),"6,75","10,125")))</f>
        <v>6,75</v>
      </c>
      <c r="H4" s="3">
        <v>1</v>
      </c>
      <c r="I4" s="3" t="str">
        <f t="shared" ref="I4:I13" si="3">IF(H4=0,"0","1,5")</f>
        <v>1,5</v>
      </c>
      <c r="J4" s="12">
        <v>0.14399999999999999</v>
      </c>
      <c r="K4" s="20">
        <f t="shared" ref="K4:K13" si="4">IF(J4&gt;QUARTILE($J$4:$J$13,3),$B$35,IF(AND(J4&lt;=QUARTILE($J$4:$J$13,3),J4&gt;QUARTILE($J$4:$J$13,2)),$B$34,IF(AND(J4&lt;=QUARTILE($J$4:$J$13,2),J4&gt;QUARTILE($J$4:$J$13,1)),$B$33,$B$32)))</f>
        <v>5</v>
      </c>
      <c r="L4" s="12">
        <v>28.393899999999999</v>
      </c>
      <c r="M4" s="20">
        <f t="shared" ref="M4:M13" si="5">IF(L4&gt;QUARTILE($L$4:$L$13,3),$B$41,IF(AND(L4&lt;=QUARTILE($L$4:$L$13,3),L4&gt;QUARTILE($L$4:$L$13,2)),$B$40,IF(AND(L4&lt;=QUARTILE($L$4:$L$14,2),L4&gt;QUARTILE($L$4:$L$13,1)),$B$39,$B$38)))</f>
        <v>5</v>
      </c>
      <c r="N4" s="14">
        <v>-25.46</v>
      </c>
      <c r="O4" s="14">
        <f t="shared" ref="O4:O13" si="6">IF(N4&gt;QUARTILE($N$4:$N$13,3),$B$47,IF(AND(N4&lt;=QUARTILE($N$4:$N$13,3),N4&gt;QUARTILE($N$4:$N$13,2)),$B$46,IF(AND(N4&lt;=QUARTILE($N$4:$N$13,2),N4&gt;QUARTILE($N$4:$N$13,1)),$B$45,$B$44)))</f>
        <v>3.375</v>
      </c>
      <c r="P4" s="14">
        <v>0</v>
      </c>
      <c r="Q4" s="14" t="str">
        <f t="shared" ref="Q4:Q13" si="7">IF(P4=0,"0","0,5")</f>
        <v>0</v>
      </c>
      <c r="R4" s="12">
        <v>0.2772</v>
      </c>
      <c r="S4" s="12" t="str">
        <f t="shared" ref="S4:S13" si="8">IF(R4&gt;13.6525%,"9",IF(R4&lt;=-23.8325%,"2,25",IF(AND(R4&gt;-23.8325%,R4&lt;=1.865%),"4,5","6,75")))</f>
        <v>9</v>
      </c>
      <c r="T4" s="22">
        <v>1</v>
      </c>
      <c r="U4" s="12" t="str">
        <f t="shared" ref="U4:U13" si="9">IF(T4=0,"0","1")</f>
        <v>1</v>
      </c>
      <c r="V4" s="12">
        <v>6.3700000000000007E-2</v>
      </c>
      <c r="W4" s="12" t="str">
        <f t="shared" ref="W4:W13" si="10">IF(V4&gt;6.04%,"13,5",IF(V4&lt;=-26.0375%,"3,375",IF(AND(V4&gt;-26.0375%,V4&lt;=0.055%),"6,75","10,125")))</f>
        <v>13,5</v>
      </c>
      <c r="X4" s="22">
        <v>1</v>
      </c>
      <c r="Y4" s="12" t="str">
        <f t="shared" ref="Y4:Y13" si="11">IF(X4=0,"0","1,5")</f>
        <v>1,5</v>
      </c>
      <c r="Z4" s="12">
        <v>6.8099999999999994E-2</v>
      </c>
      <c r="AA4" s="12" t="str">
        <f t="shared" ref="AA4:AA13" si="12">IF(Z4&gt;3.1%,"13,5",IF(Z4&lt;=-39.7275%,"3,375",IF(AND(Z4&gt;-39.7275%,Z4&lt;=0%),"6,75","10,125")))</f>
        <v>13,5</v>
      </c>
      <c r="AB4" s="22">
        <v>1</v>
      </c>
      <c r="AC4" s="12" t="str">
        <f t="shared" ref="AC4:AC13" si="13">IF(AB4=0,"0","1,5")</f>
        <v>1,5</v>
      </c>
      <c r="AD4" s="13">
        <v>1.0681</v>
      </c>
      <c r="AE4" s="20">
        <f t="shared" ref="AE4:AE13" si="14">IF(AD4&gt;QUARTILE($AD$4:$AD$13,3),$B$71,IF(AND(AD4&lt;=QUARTILE($AD$4:$AD$13,3),AD4&gt;QUARTILE($AD$4:$AD$13,2)),$B$70,IF(AND(AD4&lt;=QUARTILE($AD$4:$AD$13,2),AD4&gt;QUARTILE($AD$4:$AD$13,1)),$B$69,$B$68)))</f>
        <v>1.125</v>
      </c>
      <c r="AF4" s="22">
        <v>1</v>
      </c>
      <c r="AG4" s="13" t="str">
        <f t="shared" ref="AG4:AG13" si="15">IF(AF4=0,"0","0,5")</f>
        <v>0,5</v>
      </c>
      <c r="AH4" s="12">
        <v>3.1800000000000002E-2</v>
      </c>
      <c r="AI4" s="20">
        <f>IF(AH4&gt;QUARTILE($AH$4:$AH$13,3),$B$77,IF(AND(AH4&lt;=QUARTILE($AH$4:$AH$13,3),AH4&gt;QUARTILE($AH$4:$AH$13,2)),$B$76,IF(AND(AH4&lt;=QUARTILE(AH4:$AH$13,2),AH4&gt;QUARTILE($AH$4:$AH$13,1)),$B$75,$B$74)))</f>
        <v>4.5</v>
      </c>
      <c r="AJ4" s="3">
        <v>1</v>
      </c>
      <c r="AK4" s="3" t="str">
        <f t="shared" ref="AK4:AK13" si="16">IF(AJ4=0,"0","1")</f>
        <v>1</v>
      </c>
      <c r="AL4" s="10">
        <f t="shared" ref="AL4:AL13" si="17">C4+E4+G4+I4+K4+M4+O4+Q4+S4+U4+W4+Y4+AA4+AC4+AE4+AG4+AI4+AK4</f>
        <v>80.375</v>
      </c>
      <c r="AM4" s="2" t="s">
        <v>65</v>
      </c>
    </row>
    <row r="5" spans="1:39">
      <c r="A5" s="32" t="s">
        <v>177</v>
      </c>
      <c r="B5" s="14">
        <v>4.4000000000000004</v>
      </c>
      <c r="C5" s="14" t="str">
        <f t="shared" si="0"/>
        <v>13,5</v>
      </c>
      <c r="D5" s="3">
        <v>1</v>
      </c>
      <c r="E5" s="3" t="str">
        <f t="shared" si="1"/>
        <v>1,5</v>
      </c>
      <c r="F5" s="14">
        <v>5.9</v>
      </c>
      <c r="G5" s="14" t="str">
        <f t="shared" si="2"/>
        <v>6,75</v>
      </c>
      <c r="H5" s="3">
        <v>1</v>
      </c>
      <c r="I5" s="3" t="str">
        <f t="shared" si="3"/>
        <v>1,5</v>
      </c>
      <c r="J5" s="12">
        <v>8.5199999999999998E-2</v>
      </c>
      <c r="K5" s="20">
        <f t="shared" si="4"/>
        <v>5</v>
      </c>
      <c r="L5" s="12">
        <v>7.5254000000000003</v>
      </c>
      <c r="M5" s="20">
        <f t="shared" si="5"/>
        <v>5</v>
      </c>
      <c r="N5" s="14">
        <v>-27.43</v>
      </c>
      <c r="O5" s="14">
        <f t="shared" si="6"/>
        <v>3.375</v>
      </c>
      <c r="P5" s="14">
        <v>0</v>
      </c>
      <c r="Q5" s="14" t="str">
        <f t="shared" si="7"/>
        <v>0</v>
      </c>
      <c r="R5" s="12">
        <v>0.3105</v>
      </c>
      <c r="S5" s="12" t="str">
        <f t="shared" si="8"/>
        <v>9</v>
      </c>
      <c r="T5" s="22">
        <v>1</v>
      </c>
      <c r="U5" s="12" t="str">
        <f t="shared" si="9"/>
        <v>1</v>
      </c>
      <c r="V5" s="12">
        <v>0.13589999999999999</v>
      </c>
      <c r="W5" s="12" t="str">
        <f t="shared" si="10"/>
        <v>13,5</v>
      </c>
      <c r="X5" s="22">
        <v>1</v>
      </c>
      <c r="Y5" s="12" t="str">
        <f t="shared" si="11"/>
        <v>1,5</v>
      </c>
      <c r="Z5" s="12">
        <v>7.9500000000000001E-2</v>
      </c>
      <c r="AA5" s="12" t="str">
        <f t="shared" si="12"/>
        <v>13,5</v>
      </c>
      <c r="AB5" s="22">
        <v>1</v>
      </c>
      <c r="AC5" s="12" t="str">
        <f t="shared" si="13"/>
        <v>1,5</v>
      </c>
      <c r="AD5" s="13">
        <v>1.1572</v>
      </c>
      <c r="AE5" s="20">
        <f t="shared" si="14"/>
        <v>3.375</v>
      </c>
      <c r="AF5" s="22">
        <v>1</v>
      </c>
      <c r="AG5" s="13" t="str">
        <f t="shared" si="15"/>
        <v>0,5</v>
      </c>
      <c r="AH5" s="12">
        <v>9.4700000000000006E-2</v>
      </c>
      <c r="AI5" s="20">
        <f>IF(AH5&gt;QUARTILE($AH$4:$AH$13,3),$B$77,IF(AND(AH5&lt;=QUARTILE($AH$4:$AH$13,3),AH5&gt;QUARTILE($AH$4:$AH$13,2)),$B$76,IF(AND(AH5&lt;=QUARTILE(AH5:$AH$13,2),AH5&gt;QUARTILE($AH$4:$AH$13,1)),$B$75,$B$74)))</f>
        <v>9</v>
      </c>
      <c r="AJ5" s="3">
        <v>1</v>
      </c>
      <c r="AK5" s="3" t="str">
        <f t="shared" si="16"/>
        <v>1</v>
      </c>
      <c r="AL5" s="10">
        <f t="shared" si="17"/>
        <v>90.5</v>
      </c>
      <c r="AM5" s="2" t="s">
        <v>75</v>
      </c>
    </row>
    <row r="6" spans="1:39">
      <c r="A6" s="32" t="s">
        <v>176</v>
      </c>
      <c r="B6" s="14">
        <v>7.5</v>
      </c>
      <c r="C6" s="14" t="str">
        <f t="shared" si="0"/>
        <v>13,5</v>
      </c>
      <c r="D6" s="3">
        <v>1</v>
      </c>
      <c r="E6" s="3" t="str">
        <f t="shared" si="1"/>
        <v>1,5</v>
      </c>
      <c r="F6" s="14">
        <v>7.8</v>
      </c>
      <c r="G6" s="14" t="str">
        <f t="shared" si="2"/>
        <v>10,125</v>
      </c>
      <c r="H6" s="3">
        <v>1</v>
      </c>
      <c r="I6" s="3" t="str">
        <f t="shared" si="3"/>
        <v>1,5</v>
      </c>
      <c r="J6" s="12">
        <v>1.54E-2</v>
      </c>
      <c r="K6" s="20">
        <f t="shared" si="4"/>
        <v>2.5</v>
      </c>
      <c r="L6" s="12">
        <v>0.6714</v>
      </c>
      <c r="M6" s="20">
        <f t="shared" si="5"/>
        <v>2.5</v>
      </c>
      <c r="N6" s="14">
        <v>-28.54</v>
      </c>
      <c r="O6" s="14">
        <f t="shared" si="6"/>
        <v>4.5</v>
      </c>
      <c r="P6" s="14">
        <v>0</v>
      </c>
      <c r="Q6" s="14" t="str">
        <f t="shared" si="7"/>
        <v>0</v>
      </c>
      <c r="R6" s="12">
        <v>0.4249</v>
      </c>
      <c r="S6" s="12" t="str">
        <f t="shared" si="8"/>
        <v>9</v>
      </c>
      <c r="T6" s="22">
        <v>1</v>
      </c>
      <c r="U6" s="12" t="str">
        <f t="shared" si="9"/>
        <v>1</v>
      </c>
      <c r="V6" s="12">
        <v>0.1915</v>
      </c>
      <c r="W6" s="12" t="str">
        <f t="shared" si="10"/>
        <v>13,5</v>
      </c>
      <c r="X6" s="22">
        <v>1</v>
      </c>
      <c r="Y6" s="12" t="str">
        <f t="shared" si="11"/>
        <v>1,5</v>
      </c>
      <c r="Z6" s="12">
        <v>0.224</v>
      </c>
      <c r="AA6" s="12" t="str">
        <f t="shared" si="12"/>
        <v>13,5</v>
      </c>
      <c r="AB6" s="22">
        <v>1</v>
      </c>
      <c r="AC6" s="12" t="str">
        <f t="shared" si="13"/>
        <v>1,5</v>
      </c>
      <c r="AD6" s="13">
        <v>1.2369000000000001</v>
      </c>
      <c r="AE6" s="20">
        <f t="shared" si="14"/>
        <v>4.5</v>
      </c>
      <c r="AF6" s="22">
        <v>1</v>
      </c>
      <c r="AG6" s="13" t="str">
        <f t="shared" si="15"/>
        <v>0,5</v>
      </c>
      <c r="AH6" s="12">
        <v>7.6700000000000004E-2</v>
      </c>
      <c r="AI6" s="20">
        <f>IF(AH6&gt;QUARTILE($AH$4:$AH$13,3),$B$77,IF(AND(AH6&lt;=QUARTILE($AH$4:$AH$13,3),AH6&gt;QUARTILE($AH$4:$AH$13,2)),$B$76,IF(AND(AH6&lt;=QUARTILE(AH6:$AH$13,2),AH6&gt;QUARTILE($AH$4:$AH$13,1)),$B$75,$B$74)))</f>
        <v>9</v>
      </c>
      <c r="AJ6" s="3">
        <v>1</v>
      </c>
      <c r="AK6" s="3" t="str">
        <f t="shared" si="16"/>
        <v>1</v>
      </c>
      <c r="AL6" s="10">
        <f t="shared" si="17"/>
        <v>91.125</v>
      </c>
      <c r="AM6" s="2" t="s">
        <v>77</v>
      </c>
    </row>
    <row r="7" spans="1:39">
      <c r="A7" s="32" t="s">
        <v>175</v>
      </c>
      <c r="B7" s="33">
        <v>4.8</v>
      </c>
      <c r="C7" s="14" t="str">
        <f t="shared" si="0"/>
        <v>13,5</v>
      </c>
      <c r="D7" s="3">
        <v>1</v>
      </c>
      <c r="E7" s="3" t="str">
        <f t="shared" si="1"/>
        <v>1,5</v>
      </c>
      <c r="F7" s="33">
        <v>6.5</v>
      </c>
      <c r="G7" s="14" t="str">
        <f t="shared" si="2"/>
        <v>6,75</v>
      </c>
      <c r="H7" s="3">
        <v>1</v>
      </c>
      <c r="I7" s="3" t="str">
        <f t="shared" si="3"/>
        <v>1,5</v>
      </c>
      <c r="J7" s="12">
        <v>4.07E-2</v>
      </c>
      <c r="K7" s="20">
        <f t="shared" si="4"/>
        <v>3.75</v>
      </c>
      <c r="L7" s="12">
        <v>1.1845000000000001</v>
      </c>
      <c r="M7" s="20">
        <f t="shared" si="5"/>
        <v>3.75</v>
      </c>
      <c r="N7" s="14">
        <v>-66.75</v>
      </c>
      <c r="O7" s="14">
        <f t="shared" si="6"/>
        <v>4.5</v>
      </c>
      <c r="P7" s="14">
        <v>0</v>
      </c>
      <c r="Q7" s="14" t="str">
        <f t="shared" si="7"/>
        <v>0</v>
      </c>
      <c r="R7" s="12">
        <v>0.30309999999999998</v>
      </c>
      <c r="S7" s="12" t="str">
        <f t="shared" si="8"/>
        <v>9</v>
      </c>
      <c r="T7" s="22">
        <v>1</v>
      </c>
      <c r="U7" s="12" t="str">
        <f t="shared" si="9"/>
        <v>1</v>
      </c>
      <c r="V7" s="12">
        <v>0.1736</v>
      </c>
      <c r="W7" s="12" t="str">
        <f t="shared" si="10"/>
        <v>13,5</v>
      </c>
      <c r="X7" s="22">
        <v>0</v>
      </c>
      <c r="Y7" s="12" t="str">
        <f t="shared" si="11"/>
        <v>0</v>
      </c>
      <c r="Z7" s="12">
        <v>0.11070000000000001</v>
      </c>
      <c r="AA7" s="12" t="str">
        <f t="shared" si="12"/>
        <v>13,5</v>
      </c>
      <c r="AB7" s="22">
        <v>1</v>
      </c>
      <c r="AC7" s="12" t="str">
        <f t="shared" si="13"/>
        <v>1,5</v>
      </c>
      <c r="AD7" s="13">
        <v>1.2101</v>
      </c>
      <c r="AE7" s="20">
        <f t="shared" si="14"/>
        <v>4.5</v>
      </c>
      <c r="AF7" s="22">
        <v>0</v>
      </c>
      <c r="AG7" s="13" t="str">
        <f t="shared" si="15"/>
        <v>0</v>
      </c>
      <c r="AH7" s="12">
        <v>5.8999999999999997E-2</v>
      </c>
      <c r="AI7" s="20">
        <f>IF(AH7&gt;QUARTILE($AH$4:$AH$13,3),$B$77,IF(AND(AH7&lt;=QUARTILE($AH$4:$AH$13,3),AH7&gt;QUARTILE($AH$4:$AH$13,2)),$B$76,IF(AND(AH7&lt;=QUARTILE(AH7:$AH$13,2),AH7&gt;QUARTILE($AH$4:$AH$13,1)),$B$75,$B$74)))</f>
        <v>6.75</v>
      </c>
      <c r="AJ7" s="3">
        <v>1</v>
      </c>
      <c r="AK7" s="3" t="str">
        <f t="shared" si="16"/>
        <v>1</v>
      </c>
      <c r="AL7" s="10">
        <f t="shared" si="17"/>
        <v>86</v>
      </c>
      <c r="AM7" s="2" t="s">
        <v>63</v>
      </c>
    </row>
    <row r="8" spans="1:39">
      <c r="A8" s="32" t="s">
        <v>174</v>
      </c>
      <c r="B8" s="14">
        <v>1.6</v>
      </c>
      <c r="C8" s="14" t="str">
        <f t="shared" si="0"/>
        <v>10,125</v>
      </c>
      <c r="D8" s="3">
        <v>1</v>
      </c>
      <c r="E8" s="3" t="str">
        <f t="shared" si="1"/>
        <v>1,5</v>
      </c>
      <c r="F8" s="14">
        <v>0.1</v>
      </c>
      <c r="G8" s="14" t="str">
        <f t="shared" si="2"/>
        <v>6,75</v>
      </c>
      <c r="H8" s="3">
        <v>1</v>
      </c>
      <c r="I8" s="3" t="str">
        <f t="shared" si="3"/>
        <v>1,5</v>
      </c>
      <c r="J8" s="12">
        <v>8.5000000000000006E-2</v>
      </c>
      <c r="K8" s="20">
        <f t="shared" si="4"/>
        <v>5</v>
      </c>
      <c r="L8" s="12">
        <v>1.0353000000000001</v>
      </c>
      <c r="M8" s="20">
        <f t="shared" si="5"/>
        <v>2.5</v>
      </c>
      <c r="N8" s="14">
        <v>-13.48</v>
      </c>
      <c r="O8" s="14">
        <f t="shared" si="6"/>
        <v>2.25</v>
      </c>
      <c r="P8" s="14">
        <v>0</v>
      </c>
      <c r="Q8" s="14" t="str">
        <f t="shared" si="7"/>
        <v>0</v>
      </c>
      <c r="R8" s="12">
        <v>0.22409999999999999</v>
      </c>
      <c r="S8" s="12" t="str">
        <f t="shared" si="8"/>
        <v>9</v>
      </c>
      <c r="T8" s="22">
        <v>1</v>
      </c>
      <c r="U8" s="12" t="str">
        <f t="shared" si="9"/>
        <v>1</v>
      </c>
      <c r="V8" s="12">
        <v>8.0699999999999994E-2</v>
      </c>
      <c r="W8" s="12" t="str">
        <f t="shared" si="10"/>
        <v>13,5</v>
      </c>
      <c r="X8" s="22">
        <v>1</v>
      </c>
      <c r="Y8" s="12" t="str">
        <f t="shared" si="11"/>
        <v>1,5</v>
      </c>
      <c r="Z8" s="12">
        <v>2.3999999999999998E-3</v>
      </c>
      <c r="AA8" s="12" t="str">
        <f t="shared" si="12"/>
        <v>10,125</v>
      </c>
      <c r="AB8" s="22">
        <v>1</v>
      </c>
      <c r="AC8" s="12" t="str">
        <f t="shared" si="13"/>
        <v>1,5</v>
      </c>
      <c r="AD8" s="13">
        <v>1.0876999999999999</v>
      </c>
      <c r="AE8" s="20">
        <f t="shared" si="14"/>
        <v>2.25</v>
      </c>
      <c r="AF8" s="22">
        <v>1</v>
      </c>
      <c r="AG8" s="13" t="str">
        <f t="shared" si="15"/>
        <v>0,5</v>
      </c>
      <c r="AH8" s="12">
        <v>1.6799999999999999E-2</v>
      </c>
      <c r="AI8" s="20">
        <f>IF(AH8&gt;QUARTILE($AH$4:$AH$13,3),$B$77,IF(AND(AH8&lt;=QUARTILE($AH$4:$AH$13,3),AH8&gt;QUARTILE($AH$4:$AH$13,2)),$B$76,IF(AND(AH8&lt;=QUARTILE(AH8:$AH$13,2),AH8&gt;QUARTILE($AH$4:$AH$13,1)),$B$75,$B$74)))</f>
        <v>2.25</v>
      </c>
      <c r="AJ8" s="3">
        <v>1</v>
      </c>
      <c r="AK8" s="3" t="str">
        <f t="shared" si="16"/>
        <v>1</v>
      </c>
      <c r="AL8" s="10">
        <f t="shared" si="17"/>
        <v>72.25</v>
      </c>
      <c r="AM8" s="2" t="s">
        <v>67</v>
      </c>
    </row>
    <row r="9" spans="1:39">
      <c r="A9" s="32" t="s">
        <v>173</v>
      </c>
      <c r="B9" s="14">
        <v>5.7</v>
      </c>
      <c r="C9" s="14" t="str">
        <f t="shared" si="0"/>
        <v>13,5</v>
      </c>
      <c r="D9" s="3">
        <v>1</v>
      </c>
      <c r="E9" s="3" t="str">
        <f t="shared" si="1"/>
        <v>1,5</v>
      </c>
      <c r="F9" s="14">
        <v>7.3</v>
      </c>
      <c r="G9" s="14" t="str">
        <f t="shared" si="2"/>
        <v>10,125</v>
      </c>
      <c r="H9" s="3">
        <v>1</v>
      </c>
      <c r="I9" s="3" t="str">
        <f t="shared" si="3"/>
        <v>1,5</v>
      </c>
      <c r="J9" s="12">
        <v>7.2499999999999995E-2</v>
      </c>
      <c r="K9" s="20">
        <f t="shared" si="4"/>
        <v>3.75</v>
      </c>
      <c r="L9" s="12">
        <v>0.62880000000000003</v>
      </c>
      <c r="M9" s="20">
        <f t="shared" si="5"/>
        <v>1.25</v>
      </c>
      <c r="N9" s="14">
        <v>-8.52</v>
      </c>
      <c r="O9" s="14">
        <f t="shared" si="6"/>
        <v>1.125</v>
      </c>
      <c r="P9" s="14">
        <v>1</v>
      </c>
      <c r="Q9" s="14" t="str">
        <f t="shared" si="7"/>
        <v>0,5</v>
      </c>
      <c r="R9" s="12">
        <v>7.6399999999999996E-2</v>
      </c>
      <c r="S9" s="12" t="str">
        <f t="shared" si="8"/>
        <v>6,75</v>
      </c>
      <c r="T9" s="22">
        <v>1</v>
      </c>
      <c r="U9" s="12" t="str">
        <f t="shared" si="9"/>
        <v>1</v>
      </c>
      <c r="V9" s="12">
        <v>3.6900000000000002E-2</v>
      </c>
      <c r="W9" s="12" t="str">
        <f t="shared" si="10"/>
        <v>10,125</v>
      </c>
      <c r="X9" s="22">
        <v>1</v>
      </c>
      <c r="Y9" s="12" t="str">
        <f t="shared" si="11"/>
        <v>1,5</v>
      </c>
      <c r="Z9" s="12">
        <v>2.93E-2</v>
      </c>
      <c r="AA9" s="12" t="str">
        <f t="shared" si="12"/>
        <v>10,125</v>
      </c>
      <c r="AB9" s="22">
        <v>1</v>
      </c>
      <c r="AC9" s="12" t="str">
        <f t="shared" si="13"/>
        <v>1,5</v>
      </c>
      <c r="AD9" s="13">
        <v>1.0383</v>
      </c>
      <c r="AE9" s="20">
        <f t="shared" si="14"/>
        <v>1.125</v>
      </c>
      <c r="AF9" s="22">
        <v>1</v>
      </c>
      <c r="AG9" s="13" t="str">
        <f t="shared" si="15"/>
        <v>0,5</v>
      </c>
      <c r="AH9" s="12">
        <v>7.5499999999999998E-2</v>
      </c>
      <c r="AI9" s="20">
        <f>IF(AH9&gt;QUARTILE($AH$4:$AH$13,3),$B$77,IF(AND(AH9&lt;=QUARTILE($AH$4:$AH$13,3),AH9&gt;QUARTILE($AH$4:$AH$13,2)),$B$76,IF(AND(AH9&lt;=QUARTILE(AH9:$AH$13,2),AH9&gt;QUARTILE($AH$4:$AH$13,1)),$B$75,$B$74)))</f>
        <v>6.75</v>
      </c>
      <c r="AJ9" s="3">
        <v>1</v>
      </c>
      <c r="AK9" s="3" t="str">
        <f t="shared" si="16"/>
        <v>1</v>
      </c>
      <c r="AL9" s="10">
        <f t="shared" si="17"/>
        <v>73.625</v>
      </c>
      <c r="AM9" s="2" t="s">
        <v>73</v>
      </c>
    </row>
    <row r="10" spans="1:39">
      <c r="A10" s="32" t="s">
        <v>172</v>
      </c>
      <c r="B10" s="14">
        <v>1.9</v>
      </c>
      <c r="C10" s="14" t="str">
        <f t="shared" si="0"/>
        <v>10,125</v>
      </c>
      <c r="D10" s="3">
        <v>1</v>
      </c>
      <c r="E10" s="3" t="str">
        <f t="shared" si="1"/>
        <v>1,5</v>
      </c>
      <c r="F10" s="14">
        <v>1.8</v>
      </c>
      <c r="G10" s="14" t="str">
        <f t="shared" si="2"/>
        <v>6,75</v>
      </c>
      <c r="H10" s="3">
        <v>1</v>
      </c>
      <c r="I10" s="3" t="str">
        <f t="shared" si="3"/>
        <v>1,5</v>
      </c>
      <c r="J10" s="12">
        <v>-7.1999999999999998E-3</v>
      </c>
      <c r="K10" s="20">
        <f t="shared" si="4"/>
        <v>1.25</v>
      </c>
      <c r="L10" s="12">
        <v>2.9533</v>
      </c>
      <c r="M10" s="20">
        <f t="shared" si="5"/>
        <v>5</v>
      </c>
      <c r="N10" s="14">
        <v>-7</v>
      </c>
      <c r="O10" s="14">
        <f t="shared" si="6"/>
        <v>1.125</v>
      </c>
      <c r="P10" s="14">
        <v>0</v>
      </c>
      <c r="Q10" s="14" t="str">
        <f t="shared" si="7"/>
        <v>0</v>
      </c>
      <c r="R10" s="12">
        <v>0.24299999999999999</v>
      </c>
      <c r="S10" s="12" t="str">
        <f t="shared" si="8"/>
        <v>9</v>
      </c>
      <c r="T10" s="22">
        <v>1</v>
      </c>
      <c r="U10" s="12" t="str">
        <f t="shared" si="9"/>
        <v>1</v>
      </c>
      <c r="V10" s="12">
        <v>7.6700000000000004E-2</v>
      </c>
      <c r="W10" s="12" t="str">
        <f t="shared" si="10"/>
        <v>13,5</v>
      </c>
      <c r="X10" s="22">
        <v>1</v>
      </c>
      <c r="Y10" s="12" t="str">
        <f t="shared" si="11"/>
        <v>1,5</v>
      </c>
      <c r="Z10" s="12">
        <v>7.46E-2</v>
      </c>
      <c r="AA10" s="12" t="str">
        <f t="shared" si="12"/>
        <v>13,5</v>
      </c>
      <c r="AB10" s="22">
        <v>1</v>
      </c>
      <c r="AC10" s="12" t="str">
        <f t="shared" si="13"/>
        <v>1,5</v>
      </c>
      <c r="AD10" s="13">
        <v>1.083</v>
      </c>
      <c r="AE10" s="20">
        <f t="shared" si="14"/>
        <v>2.25</v>
      </c>
      <c r="AF10" s="22">
        <v>1</v>
      </c>
      <c r="AG10" s="13" t="str">
        <f t="shared" si="15"/>
        <v>0,5</v>
      </c>
      <c r="AH10" s="12">
        <v>2.01E-2</v>
      </c>
      <c r="AI10" s="20">
        <f>IF(AH10&gt;QUARTILE($AH$4:$AH$13,3),$B$77,IF(AND(AH10&lt;=QUARTILE($AH$4:$AH$13,3),AH10&gt;QUARTILE($AH$4:$AH$13,2)),$B$76,IF(AND(AH10&lt;=QUARTILE(AH10:$AH$13,2),AH10&gt;QUARTILE($AH$4:$AH$13,1)),$B$75,$B$74)))</f>
        <v>2.25</v>
      </c>
      <c r="AJ10" s="3">
        <v>1</v>
      </c>
      <c r="AK10" s="3" t="str">
        <f t="shared" si="16"/>
        <v>1</v>
      </c>
      <c r="AL10" s="10">
        <f t="shared" si="17"/>
        <v>73.25</v>
      </c>
      <c r="AM10" s="2" t="s">
        <v>71</v>
      </c>
    </row>
    <row r="11" spans="1:39">
      <c r="A11" s="32" t="s">
        <v>171</v>
      </c>
      <c r="B11" s="14">
        <v>-0.7</v>
      </c>
      <c r="C11" s="14" t="str">
        <f t="shared" si="0"/>
        <v>6,75</v>
      </c>
      <c r="D11" s="3">
        <v>1</v>
      </c>
      <c r="E11" s="3" t="str">
        <f t="shared" si="1"/>
        <v>1,5</v>
      </c>
      <c r="F11" s="14">
        <v>-2.6</v>
      </c>
      <c r="G11" s="14" t="str">
        <f t="shared" si="2"/>
        <v>3,375</v>
      </c>
      <c r="H11" s="3">
        <v>1</v>
      </c>
      <c r="I11" s="3" t="str">
        <f t="shared" si="3"/>
        <v>1,5</v>
      </c>
      <c r="J11" s="12">
        <v>1.18E-2</v>
      </c>
      <c r="K11" s="20">
        <f t="shared" si="4"/>
        <v>1.25</v>
      </c>
      <c r="L11" s="12">
        <v>0.223</v>
      </c>
      <c r="M11" s="20">
        <f t="shared" si="5"/>
        <v>1.25</v>
      </c>
      <c r="N11" s="14">
        <v>-152.25</v>
      </c>
      <c r="O11" s="14">
        <f t="shared" si="6"/>
        <v>4.5</v>
      </c>
      <c r="P11" s="14">
        <v>1</v>
      </c>
      <c r="Q11" s="14" t="str">
        <f t="shared" si="7"/>
        <v>0,5</v>
      </c>
      <c r="R11" s="12">
        <v>0.28639999999999999</v>
      </c>
      <c r="S11" s="12" t="str">
        <f t="shared" si="8"/>
        <v>9</v>
      </c>
      <c r="T11" s="22">
        <v>0</v>
      </c>
      <c r="U11" s="12" t="str">
        <f t="shared" si="9"/>
        <v>0</v>
      </c>
      <c r="V11" s="12">
        <v>3.8E-3</v>
      </c>
      <c r="W11" s="12" t="str">
        <f t="shared" si="10"/>
        <v>10,125</v>
      </c>
      <c r="X11" s="22">
        <v>1</v>
      </c>
      <c r="Y11" s="12" t="str">
        <f t="shared" si="11"/>
        <v>1,5</v>
      </c>
      <c r="Z11" s="12">
        <v>-9.7500000000000003E-2</v>
      </c>
      <c r="AA11" s="12" t="str">
        <f t="shared" si="12"/>
        <v>6,75</v>
      </c>
      <c r="AB11" s="22">
        <v>1</v>
      </c>
      <c r="AC11" s="12" t="str">
        <f t="shared" si="13"/>
        <v>1,5</v>
      </c>
      <c r="AD11" s="13">
        <v>1.0038</v>
      </c>
      <c r="AE11" s="20">
        <f t="shared" si="14"/>
        <v>1.125</v>
      </c>
      <c r="AF11" s="22">
        <v>1</v>
      </c>
      <c r="AG11" s="13" t="str">
        <f t="shared" si="15"/>
        <v>0,5</v>
      </c>
      <c r="AH11" s="12">
        <v>-7.4999999999999997E-3</v>
      </c>
      <c r="AI11" s="20">
        <f>IF(AH11&gt;QUARTILE($AH$4:$AH$13,3),$B$77,IF(AND(AH11&lt;=QUARTILE($AH$4:$AH$13,3),AH11&gt;QUARTILE($AH$4:$AH$13,2)),$B$76,IF(AND(AH11&lt;=QUARTILE(AH11:$AH$13,2),AH11&gt;QUARTILE($AH$4:$AH$13,1)),$B$75,$B$74)))</f>
        <v>2.25</v>
      </c>
      <c r="AJ11" s="3">
        <v>1</v>
      </c>
      <c r="AK11" s="3" t="str">
        <f t="shared" si="16"/>
        <v>1</v>
      </c>
      <c r="AL11" s="10">
        <f t="shared" si="17"/>
        <v>54.375</v>
      </c>
      <c r="AM11" s="2" t="s">
        <v>61</v>
      </c>
    </row>
    <row r="12" spans="1:39">
      <c r="A12" s="32" t="s">
        <v>170</v>
      </c>
      <c r="B12" s="14">
        <v>6.2</v>
      </c>
      <c r="C12" s="14" t="str">
        <f t="shared" si="0"/>
        <v>13,5</v>
      </c>
      <c r="D12" s="3">
        <v>1</v>
      </c>
      <c r="E12" s="3" t="str">
        <f t="shared" si="1"/>
        <v>1,5</v>
      </c>
      <c r="F12" s="14">
        <v>29.7</v>
      </c>
      <c r="G12" s="14" t="str">
        <f t="shared" si="2"/>
        <v>10,125</v>
      </c>
      <c r="H12" s="3">
        <v>1</v>
      </c>
      <c r="I12" s="3" t="str">
        <f t="shared" si="3"/>
        <v>1,5</v>
      </c>
      <c r="J12" s="12">
        <v>1E-4</v>
      </c>
      <c r="K12" s="20">
        <f t="shared" si="4"/>
        <v>1.25</v>
      </c>
      <c r="L12" s="12">
        <v>2.5910000000000002</v>
      </c>
      <c r="M12" s="20">
        <f t="shared" si="5"/>
        <v>3.75</v>
      </c>
      <c r="N12" s="14">
        <v>-22.86</v>
      </c>
      <c r="O12" s="14">
        <f t="shared" si="6"/>
        <v>2.25</v>
      </c>
      <c r="P12" s="14">
        <v>0</v>
      </c>
      <c r="Q12" s="14" t="str">
        <f t="shared" si="7"/>
        <v>0</v>
      </c>
      <c r="R12" s="12">
        <v>0.34100000000000003</v>
      </c>
      <c r="S12" s="12" t="str">
        <f t="shared" si="8"/>
        <v>9</v>
      </c>
      <c r="T12" s="22">
        <v>1</v>
      </c>
      <c r="U12" s="12" t="str">
        <f t="shared" si="9"/>
        <v>1</v>
      </c>
      <c r="V12" s="12">
        <v>0.30159999999999998</v>
      </c>
      <c r="W12" s="12" t="str">
        <f t="shared" si="10"/>
        <v>13,5</v>
      </c>
      <c r="X12" s="22">
        <v>1</v>
      </c>
      <c r="Y12" s="12" t="str">
        <f t="shared" si="11"/>
        <v>1,5</v>
      </c>
      <c r="Z12" s="12">
        <v>0.1782</v>
      </c>
      <c r="AA12" s="12" t="str">
        <f t="shared" si="12"/>
        <v>13,5</v>
      </c>
      <c r="AB12" s="22">
        <v>1</v>
      </c>
      <c r="AC12" s="12" t="str">
        <f t="shared" si="13"/>
        <v>1,5</v>
      </c>
      <c r="AD12" s="13">
        <v>1.4318</v>
      </c>
      <c r="AE12" s="20">
        <f t="shared" si="14"/>
        <v>4.5</v>
      </c>
      <c r="AF12" s="22">
        <v>1</v>
      </c>
      <c r="AG12" s="13" t="str">
        <f t="shared" si="15"/>
        <v>0,5</v>
      </c>
      <c r="AH12" s="12">
        <v>0.10970000000000001</v>
      </c>
      <c r="AI12" s="20">
        <f>IF(AH12&gt;QUARTILE($AH$4:$AH$13,3),$B$77,IF(AND(AH12&lt;=QUARTILE($AH$4:$AH$13,3),AH12&gt;QUARTILE($AH$4:$AH$13,2)),$B$76,IF(AND(AH12&lt;=QUARTILE(AH12:$AH$13,2),AH12&gt;QUARTILE($AH$4:$AH$13,1)),$B$75,$B$74)))</f>
        <v>9</v>
      </c>
      <c r="AJ12" s="3">
        <v>1</v>
      </c>
      <c r="AK12" s="3" t="str">
        <f t="shared" si="16"/>
        <v>1</v>
      </c>
      <c r="AL12" s="10">
        <f t="shared" si="17"/>
        <v>88.875</v>
      </c>
      <c r="AM12" s="2" t="s">
        <v>69</v>
      </c>
    </row>
    <row r="13" spans="1:39">
      <c r="A13" s="32" t="s">
        <v>169</v>
      </c>
      <c r="B13" s="14">
        <v>3.7</v>
      </c>
      <c r="C13" s="14" t="str">
        <f t="shared" si="0"/>
        <v>13,5</v>
      </c>
      <c r="D13" s="3">
        <v>0</v>
      </c>
      <c r="E13" s="3" t="str">
        <f t="shared" si="1"/>
        <v>0</v>
      </c>
      <c r="F13" s="14">
        <v>4.8</v>
      </c>
      <c r="G13" s="14" t="str">
        <f t="shared" si="2"/>
        <v>6,75</v>
      </c>
      <c r="H13" s="3">
        <v>0</v>
      </c>
      <c r="I13" s="3" t="str">
        <f t="shared" si="3"/>
        <v>0</v>
      </c>
      <c r="J13" s="12">
        <v>2.1899999999999999E-2</v>
      </c>
      <c r="K13" s="20">
        <f t="shared" si="4"/>
        <v>2.5</v>
      </c>
      <c r="L13" s="12">
        <v>-0.61560000000000004</v>
      </c>
      <c r="M13" s="20">
        <f t="shared" si="5"/>
        <v>1.25</v>
      </c>
      <c r="N13" s="14">
        <v>-0.09</v>
      </c>
      <c r="O13" s="14">
        <f t="shared" si="6"/>
        <v>1.125</v>
      </c>
      <c r="P13" s="14">
        <v>0</v>
      </c>
      <c r="Q13" s="14" t="str">
        <f t="shared" si="7"/>
        <v>0</v>
      </c>
      <c r="R13" s="12">
        <v>0.2848</v>
      </c>
      <c r="S13" s="12" t="str">
        <f t="shared" si="8"/>
        <v>9</v>
      </c>
      <c r="T13" s="22">
        <v>1</v>
      </c>
      <c r="U13" s="12" t="str">
        <f t="shared" si="9"/>
        <v>1</v>
      </c>
      <c r="V13" s="12">
        <v>0.14649999999999999</v>
      </c>
      <c r="W13" s="12" t="str">
        <f t="shared" si="10"/>
        <v>13,5</v>
      </c>
      <c r="X13" s="22">
        <v>1</v>
      </c>
      <c r="Y13" s="12" t="str">
        <f t="shared" si="11"/>
        <v>1,5</v>
      </c>
      <c r="Z13" s="12">
        <v>0.12509999999999999</v>
      </c>
      <c r="AA13" s="12" t="str">
        <f t="shared" si="12"/>
        <v>13,5</v>
      </c>
      <c r="AB13" s="22">
        <v>0</v>
      </c>
      <c r="AC13" s="12" t="str">
        <f t="shared" si="13"/>
        <v>0</v>
      </c>
      <c r="AD13" s="13">
        <v>1.1716</v>
      </c>
      <c r="AE13" s="20">
        <f t="shared" si="14"/>
        <v>3.375</v>
      </c>
      <c r="AF13" s="22">
        <v>1</v>
      </c>
      <c r="AG13" s="13" t="str">
        <f t="shared" si="15"/>
        <v>0,5</v>
      </c>
      <c r="AH13" s="12">
        <v>5.04E-2</v>
      </c>
      <c r="AI13" s="20">
        <f>IF(AH13&gt;QUARTILE($AH$4:$AH$13,3),$B$77,IF(AND(AH13&lt;=QUARTILE($AH$4:$AH$13,3),AH13&gt;QUARTILE($AH$4:$AH$13,2)),$B$76,IF(AND(AH13&lt;=QUARTILE(AH13:$AH$13,2),AH13&gt;QUARTILE($AH$4:$AH$13,1)),$B$75,$B$74)))</f>
        <v>4.5</v>
      </c>
      <c r="AJ13" s="3">
        <v>0</v>
      </c>
      <c r="AK13" s="3" t="str">
        <f t="shared" si="16"/>
        <v>0</v>
      </c>
      <c r="AL13" s="10">
        <f t="shared" si="17"/>
        <v>72</v>
      </c>
      <c r="AM13" s="2" t="s">
        <v>79</v>
      </c>
    </row>
    <row r="14" spans="1:39">
      <c r="A14" s="31"/>
      <c r="B14" s="14"/>
      <c r="C14" s="14"/>
    </row>
    <row r="15" spans="1:39">
      <c r="A15" s="31"/>
      <c r="B15" s="14"/>
      <c r="C15" s="14"/>
      <c r="D15">
        <f>IF(J4&gt;QUARTILE($J$4:$J$13,3),$B$35,IF(AND(J4&lt;=QUARTILE($J$4:$J$13,3),J4&gt;QUARTILE($J$4:$J$13,2)),$B$34,IF(AND(J4&lt;=QUARTILE($J$4:$J$13,2),J4&gt;QUARTILE($J$4:$J$13,1)),$B$33,$B$32)))</f>
        <v>5</v>
      </c>
    </row>
    <row r="16" spans="1:39">
      <c r="A16" s="31"/>
      <c r="AA16" s="29"/>
      <c r="AB16" s="29"/>
      <c r="AC16" s="29"/>
      <c r="AD16" s="29"/>
      <c r="AE16" s="29"/>
      <c r="AF16" s="29"/>
      <c r="AG16" s="504"/>
      <c r="AH16" s="504"/>
    </row>
    <row r="17" spans="1:38" ht="18.75">
      <c r="A17" s="17" t="s">
        <v>60</v>
      </c>
      <c r="B17" s="17" t="s">
        <v>59</v>
      </c>
      <c r="C17" s="17"/>
      <c r="D17" s="17"/>
      <c r="E17" s="17"/>
      <c r="F17" s="17" t="s">
        <v>58</v>
      </c>
      <c r="G17" s="17"/>
      <c r="H17" s="16"/>
      <c r="I17" s="16"/>
      <c r="J17" s="16"/>
      <c r="K17" s="16"/>
      <c r="L17" s="16" t="s">
        <v>57</v>
      </c>
      <c r="M17" s="16"/>
      <c r="AB17" s="2"/>
      <c r="AC17" s="30"/>
      <c r="AD17" s="14"/>
      <c r="AE17" s="30"/>
      <c r="AF17" s="30"/>
    </row>
    <row r="18" spans="1:38" ht="17.25">
      <c r="A18" s="11" t="s">
        <v>56</v>
      </c>
      <c r="B18" s="9">
        <v>13.5</v>
      </c>
      <c r="C18" s="9"/>
      <c r="D18" s="10"/>
      <c r="E18" s="10"/>
      <c r="F18" s="9">
        <v>1.5</v>
      </c>
      <c r="G18" s="9"/>
      <c r="H18" s="8"/>
      <c r="I18" s="8"/>
      <c r="J18" s="8"/>
      <c r="K18" s="8"/>
      <c r="L18" s="9">
        <v>15</v>
      </c>
      <c r="M18" s="9"/>
      <c r="AB18" s="2"/>
      <c r="AC18" s="30"/>
      <c r="AD18" s="30"/>
      <c r="AE18" s="30"/>
      <c r="AF18" s="30"/>
      <c r="AH18" s="2"/>
      <c r="AI18" s="29"/>
      <c r="AJ18" s="29"/>
      <c r="AK18" s="29"/>
      <c r="AL18" s="29"/>
    </row>
    <row r="19" spans="1:38">
      <c r="A19" t="s">
        <v>168</v>
      </c>
      <c r="B19" s="3">
        <v>3.375</v>
      </c>
      <c r="C19" s="3"/>
      <c r="D19" s="3"/>
      <c r="E19" s="3"/>
      <c r="F19" s="3" t="s">
        <v>7</v>
      </c>
      <c r="G19" s="3"/>
      <c r="H19">
        <v>1.5</v>
      </c>
      <c r="AB19" s="2"/>
      <c r="AC19" s="30"/>
      <c r="AD19" s="30"/>
      <c r="AE19" s="30"/>
      <c r="AF19" s="30"/>
      <c r="AH19" s="2"/>
      <c r="AI19" s="30"/>
      <c r="AJ19" s="30"/>
      <c r="AK19" s="30"/>
      <c r="AL19" s="30"/>
    </row>
    <row r="20" spans="1:38">
      <c r="A20" t="s">
        <v>167</v>
      </c>
      <c r="B20" s="3">
        <v>6.75</v>
      </c>
      <c r="C20" s="3"/>
      <c r="D20" s="3"/>
      <c r="E20" s="3"/>
      <c r="F20" s="3" t="s">
        <v>4</v>
      </c>
      <c r="G20" s="3"/>
      <c r="H20">
        <v>0</v>
      </c>
      <c r="AB20" s="2"/>
      <c r="AC20" s="30"/>
      <c r="AD20" s="30"/>
      <c r="AE20" s="30"/>
      <c r="AF20" s="30"/>
      <c r="AH20" s="2"/>
      <c r="AI20" s="30"/>
      <c r="AJ20" s="30"/>
      <c r="AK20" s="30"/>
      <c r="AL20" s="30"/>
    </row>
    <row r="21" spans="1:38">
      <c r="A21" t="s">
        <v>166</v>
      </c>
      <c r="B21" s="3">
        <v>10.125</v>
      </c>
      <c r="C21" s="3"/>
      <c r="D21" s="3"/>
      <c r="E21" s="3"/>
      <c r="F21" s="3"/>
      <c r="G21" s="3"/>
      <c r="AB21" s="2"/>
      <c r="AC21" s="30"/>
      <c r="AD21" s="30"/>
      <c r="AE21" s="30"/>
      <c r="AF21" s="30"/>
      <c r="AH21" s="2"/>
      <c r="AI21" s="30"/>
      <c r="AJ21" s="30"/>
      <c r="AK21" s="30"/>
      <c r="AL21" s="30"/>
    </row>
    <row r="22" spans="1:38">
      <c r="A22" t="s">
        <v>165</v>
      </c>
      <c r="B22" s="3">
        <v>13.5</v>
      </c>
      <c r="C22" s="3"/>
      <c r="D22" s="3"/>
      <c r="E22" s="3"/>
      <c r="F22" s="3"/>
      <c r="G22" s="3"/>
      <c r="AB22" s="2"/>
      <c r="AC22" s="30"/>
      <c r="AD22" s="30"/>
      <c r="AE22" s="30"/>
      <c r="AF22" s="30"/>
      <c r="AH22" s="2"/>
      <c r="AI22" s="30"/>
      <c r="AJ22" s="30"/>
      <c r="AK22" s="30"/>
      <c r="AL22" s="30"/>
    </row>
    <row r="23" spans="1:38">
      <c r="B23" s="3"/>
      <c r="C23" s="3"/>
      <c r="D23" s="3"/>
      <c r="E23" s="3"/>
      <c r="F23" s="3"/>
      <c r="G23" s="3"/>
      <c r="AB23" s="2"/>
      <c r="AC23" s="30"/>
      <c r="AD23" s="30"/>
      <c r="AE23" s="30"/>
      <c r="AF23" s="30"/>
      <c r="AH23" s="2"/>
      <c r="AI23" s="30"/>
      <c r="AJ23" s="30"/>
      <c r="AK23" s="30"/>
      <c r="AL23" s="30"/>
    </row>
    <row r="24" spans="1:38" ht="17.25">
      <c r="A24" s="11" t="s">
        <v>51</v>
      </c>
      <c r="B24" s="9">
        <v>13.5</v>
      </c>
      <c r="C24" s="9"/>
      <c r="D24" s="10"/>
      <c r="E24" s="10"/>
      <c r="F24" s="9">
        <v>1.5</v>
      </c>
      <c r="G24" s="9"/>
      <c r="H24" s="8"/>
      <c r="L24" s="9">
        <v>15</v>
      </c>
      <c r="AB24" s="2"/>
      <c r="AC24" s="30"/>
      <c r="AD24" s="30"/>
      <c r="AE24" s="30"/>
      <c r="AF24" s="30"/>
      <c r="AH24" s="2"/>
      <c r="AI24" s="30"/>
      <c r="AJ24" s="30"/>
      <c r="AK24" s="30"/>
      <c r="AL24" s="30"/>
    </row>
    <row r="25" spans="1:38">
      <c r="A25" t="s">
        <v>164</v>
      </c>
      <c r="B25" s="3">
        <v>3.375</v>
      </c>
      <c r="C25" s="3"/>
      <c r="D25" s="3"/>
      <c r="E25" s="3"/>
      <c r="F25" s="3" t="s">
        <v>7</v>
      </c>
      <c r="G25" s="3"/>
      <c r="H25">
        <v>1.5</v>
      </c>
      <c r="I25" s="8"/>
      <c r="J25" s="8"/>
      <c r="K25" s="8"/>
      <c r="L25" s="9"/>
      <c r="M25" s="9"/>
      <c r="AB25" s="2"/>
      <c r="AC25" s="30"/>
      <c r="AD25" s="30"/>
      <c r="AE25" s="30"/>
      <c r="AF25" s="30"/>
      <c r="AH25" s="2"/>
      <c r="AI25" s="30"/>
      <c r="AJ25" s="30"/>
      <c r="AK25" s="30"/>
      <c r="AL25" s="30"/>
    </row>
    <row r="26" spans="1:38">
      <c r="A26" t="s">
        <v>163</v>
      </c>
      <c r="B26" s="3">
        <v>6.75</v>
      </c>
      <c r="C26" s="3"/>
      <c r="D26" s="3"/>
      <c r="E26" s="3"/>
      <c r="F26" s="3" t="s">
        <v>4</v>
      </c>
      <c r="G26" s="3"/>
      <c r="H26">
        <v>0</v>
      </c>
      <c r="AB26" s="2"/>
      <c r="AC26" s="30"/>
      <c r="AD26" s="30"/>
      <c r="AE26" s="30"/>
      <c r="AF26" s="30"/>
      <c r="AH26" s="2"/>
      <c r="AI26" s="30"/>
      <c r="AJ26" s="30"/>
      <c r="AK26" s="30"/>
      <c r="AL26" s="30"/>
    </row>
    <row r="27" spans="1:38">
      <c r="A27" t="s">
        <v>162</v>
      </c>
      <c r="B27" s="3">
        <v>10.125</v>
      </c>
      <c r="C27" s="3"/>
      <c r="D27" s="3"/>
      <c r="E27" s="3"/>
      <c r="F27" s="3"/>
      <c r="G27" s="3"/>
      <c r="AB27" s="2"/>
      <c r="AC27" s="30"/>
      <c r="AD27" s="30"/>
      <c r="AE27" s="30"/>
      <c r="AF27" s="30"/>
      <c r="AH27" s="2"/>
      <c r="AI27" s="30"/>
      <c r="AJ27" s="30"/>
      <c r="AK27" s="30"/>
      <c r="AL27" s="30"/>
    </row>
    <row r="28" spans="1:38">
      <c r="A28" t="s">
        <v>161</v>
      </c>
      <c r="B28" s="3">
        <v>13.5</v>
      </c>
      <c r="C28" s="3"/>
      <c r="D28" s="3"/>
      <c r="E28" s="3"/>
      <c r="F28" s="3"/>
      <c r="G28" s="3"/>
      <c r="AB28" s="2"/>
      <c r="AC28" s="30"/>
      <c r="AD28" s="30"/>
      <c r="AE28" s="30"/>
      <c r="AF28" s="30"/>
      <c r="AH28" s="2"/>
      <c r="AI28" s="30"/>
      <c r="AJ28" s="30"/>
      <c r="AK28" s="30"/>
      <c r="AL28" s="30"/>
    </row>
    <row r="29" spans="1:38">
      <c r="C29" s="3"/>
      <c r="D29" s="3"/>
      <c r="E29" s="3"/>
      <c r="F29" s="3"/>
      <c r="G29" s="3"/>
      <c r="AB29" s="2"/>
      <c r="AC29" s="30"/>
      <c r="AD29" s="30"/>
      <c r="AE29" s="30"/>
      <c r="AF29" s="30"/>
      <c r="AH29" s="2"/>
      <c r="AI29" s="30"/>
      <c r="AJ29" s="30"/>
      <c r="AK29" s="30"/>
      <c r="AL29" s="30"/>
    </row>
    <row r="30" spans="1:38">
      <c r="B30" s="3"/>
      <c r="C30" s="3"/>
      <c r="D30" s="3"/>
      <c r="E30" s="3"/>
      <c r="F30" s="3"/>
      <c r="G30" s="3"/>
      <c r="AB30" s="2"/>
      <c r="AC30" s="30"/>
      <c r="AD30" s="30"/>
      <c r="AE30" s="30"/>
      <c r="AF30" s="30"/>
      <c r="AH30" s="2"/>
      <c r="AI30" s="30"/>
      <c r="AJ30" s="30"/>
      <c r="AK30" s="30"/>
      <c r="AL30" s="30"/>
    </row>
    <row r="31" spans="1:38" ht="17.25">
      <c r="A31" s="11" t="s">
        <v>46</v>
      </c>
      <c r="B31" s="5">
        <v>5</v>
      </c>
      <c r="C31" s="5"/>
      <c r="D31" s="3" t="s">
        <v>10</v>
      </c>
      <c r="E31" s="3"/>
      <c r="F31" s="3"/>
      <c r="G31" s="3"/>
      <c r="L31" s="2">
        <v>5</v>
      </c>
      <c r="M31" s="2"/>
      <c r="AH31" s="2"/>
      <c r="AI31" s="30"/>
      <c r="AJ31" s="30"/>
      <c r="AK31" s="30"/>
      <c r="AL31" s="30"/>
    </row>
    <row r="32" spans="1:38">
      <c r="A32" t="s">
        <v>160</v>
      </c>
      <c r="B32" s="3">
        <v>1.25</v>
      </c>
      <c r="C32" s="3"/>
      <c r="D32" s="3" t="s">
        <v>8</v>
      </c>
      <c r="E32" s="4">
        <f>QUARTILE(J4:J13,1)</f>
        <v>1.2699999999999999E-2</v>
      </c>
      <c r="F32" s="3"/>
      <c r="G32" s="3"/>
      <c r="AH32" s="2"/>
      <c r="AI32" s="30"/>
      <c r="AJ32" s="30"/>
      <c r="AK32" s="30"/>
      <c r="AL32" s="30"/>
    </row>
    <row r="33" spans="1:38">
      <c r="A33" t="s">
        <v>159</v>
      </c>
      <c r="B33" s="3">
        <v>2.5</v>
      </c>
      <c r="C33" s="3"/>
      <c r="D33" s="3" t="s">
        <v>5</v>
      </c>
      <c r="E33" s="4">
        <f>QUARTILE(J4:J13,2)</f>
        <v>3.1300000000000001E-2</v>
      </c>
      <c r="F33" s="3"/>
      <c r="G33" s="3"/>
      <c r="AH33" s="2"/>
      <c r="AI33" s="30"/>
      <c r="AJ33" s="30"/>
      <c r="AK33" s="30"/>
      <c r="AL33" s="30"/>
    </row>
    <row r="34" spans="1:38">
      <c r="A34" t="s">
        <v>158</v>
      </c>
      <c r="B34" s="3">
        <v>3.75</v>
      </c>
      <c r="C34" s="3"/>
      <c r="D34" s="3" t="s">
        <v>2</v>
      </c>
      <c r="E34" s="4">
        <f>QUARTILE(J4:J13,3)</f>
        <v>8.1875000000000003E-2</v>
      </c>
      <c r="F34" s="3"/>
      <c r="G34" s="3"/>
    </row>
    <row r="35" spans="1:38">
      <c r="A35" t="s">
        <v>157</v>
      </c>
      <c r="B35" s="3">
        <v>5</v>
      </c>
      <c r="C35" s="3"/>
      <c r="D35" s="3"/>
      <c r="E35" s="4"/>
      <c r="F35" s="3"/>
      <c r="G35" s="3"/>
    </row>
    <row r="36" spans="1:38">
      <c r="B36" s="3"/>
      <c r="C36" s="3"/>
      <c r="D36" s="3"/>
      <c r="E36" s="4"/>
      <c r="F36" s="3"/>
      <c r="G36" s="3"/>
    </row>
    <row r="37" spans="1:38" ht="17.25">
      <c r="A37" s="11" t="s">
        <v>41</v>
      </c>
      <c r="B37" s="5">
        <v>5</v>
      </c>
      <c r="C37" s="5"/>
      <c r="D37" s="3" t="s">
        <v>10</v>
      </c>
      <c r="E37" s="4"/>
      <c r="F37" s="3"/>
      <c r="G37" s="3"/>
      <c r="L37" s="2">
        <v>5</v>
      </c>
      <c r="M37" s="2"/>
    </row>
    <row r="38" spans="1:38">
      <c r="A38" t="s">
        <v>156</v>
      </c>
      <c r="B38" s="3">
        <v>1.25</v>
      </c>
      <c r="C38" s="3"/>
      <c r="D38" s="3" t="s">
        <v>8</v>
      </c>
      <c r="E38" s="4">
        <f>QUARTILE(L4:L13,1)</f>
        <v>0.63945000000000007</v>
      </c>
      <c r="F38" s="3"/>
      <c r="G38" s="3"/>
    </row>
    <row r="39" spans="1:38">
      <c r="A39" t="s">
        <v>155</v>
      </c>
      <c r="B39" s="3">
        <v>2.5</v>
      </c>
      <c r="C39" s="3"/>
      <c r="D39" s="3" t="s">
        <v>5</v>
      </c>
      <c r="E39" s="4">
        <f>QUARTILE(L4:L13,2)</f>
        <v>1.1099000000000001</v>
      </c>
      <c r="F39" s="3"/>
      <c r="G39" s="3"/>
    </row>
    <row r="40" spans="1:38">
      <c r="A40" t="s">
        <v>154</v>
      </c>
      <c r="B40" s="3">
        <v>3.75</v>
      </c>
      <c r="C40" s="3"/>
      <c r="D40" s="3" t="s">
        <v>2</v>
      </c>
      <c r="E40" s="4">
        <f>QUARTILE(L4:L13,3)</f>
        <v>2.8627250000000002</v>
      </c>
      <c r="F40" s="3"/>
      <c r="G40" s="3"/>
    </row>
    <row r="41" spans="1:38">
      <c r="A41" t="s">
        <v>153</v>
      </c>
      <c r="B41" s="3">
        <v>5</v>
      </c>
      <c r="C41" s="3"/>
      <c r="D41" s="3"/>
      <c r="E41" s="3"/>
      <c r="F41" s="3"/>
      <c r="G41" s="3"/>
    </row>
    <row r="42" spans="1:38">
      <c r="B42" s="3"/>
      <c r="C42" s="3"/>
      <c r="D42" s="3"/>
      <c r="E42" s="3"/>
      <c r="F42" s="3"/>
      <c r="G42" s="3"/>
    </row>
    <row r="43" spans="1:38" ht="34.5">
      <c r="A43" s="6" t="s">
        <v>36</v>
      </c>
      <c r="B43" s="5">
        <v>4.5</v>
      </c>
      <c r="C43" s="5"/>
      <c r="D43" s="3" t="s">
        <v>10</v>
      </c>
      <c r="E43" s="5"/>
      <c r="F43" s="5">
        <v>0.5</v>
      </c>
      <c r="G43" s="5"/>
      <c r="H43" s="7"/>
      <c r="I43" s="7"/>
      <c r="J43" s="7"/>
      <c r="K43" s="7"/>
      <c r="L43" s="5">
        <v>5</v>
      </c>
      <c r="M43" s="5"/>
    </row>
    <row r="44" spans="1:38">
      <c r="A44" t="s">
        <v>152</v>
      </c>
      <c r="B44" s="3">
        <v>4.5</v>
      </c>
      <c r="C44" s="3"/>
      <c r="D44" s="3" t="s">
        <v>8</v>
      </c>
      <c r="E44" s="3">
        <f>QUARTILE(N4:N13,1)</f>
        <v>-28.262499999999999</v>
      </c>
      <c r="F44" s="502" t="s">
        <v>7</v>
      </c>
      <c r="G44" s="502"/>
      <c r="H44">
        <v>0.5</v>
      </c>
    </row>
    <row r="45" spans="1:38">
      <c r="A45" t="s">
        <v>151</v>
      </c>
      <c r="B45" s="3">
        <v>3.375</v>
      </c>
      <c r="C45" s="3"/>
      <c r="D45" s="3" t="s">
        <v>5</v>
      </c>
      <c r="E45" s="3">
        <f>QUARTILE(N4:N13,2)</f>
        <v>-24.16</v>
      </c>
      <c r="F45" s="502" t="s">
        <v>4</v>
      </c>
      <c r="G45" s="502"/>
      <c r="H45">
        <v>0</v>
      </c>
    </row>
    <row r="46" spans="1:38">
      <c r="A46" t="s">
        <v>150</v>
      </c>
      <c r="B46" s="3">
        <v>2.25</v>
      </c>
      <c r="C46" s="3"/>
      <c r="D46" s="3" t="s">
        <v>2</v>
      </c>
      <c r="E46" s="3">
        <f>QUARTILE(N4:N13,3)</f>
        <v>-9.76</v>
      </c>
      <c r="F46" s="3"/>
      <c r="G46" s="3"/>
    </row>
    <row r="47" spans="1:38">
      <c r="A47" t="s">
        <v>149</v>
      </c>
      <c r="B47" s="3">
        <v>1.125</v>
      </c>
      <c r="C47" s="3"/>
      <c r="D47" s="3"/>
      <c r="E47" s="3"/>
      <c r="F47" s="3"/>
      <c r="G47" s="3"/>
    </row>
    <row r="48" spans="1:38">
      <c r="B48" s="3"/>
      <c r="C48" s="3"/>
      <c r="D48" s="3"/>
      <c r="E48" s="3"/>
      <c r="F48" s="3"/>
      <c r="G48" s="3"/>
    </row>
    <row r="49" spans="1:13" ht="34.5">
      <c r="A49" s="6" t="s">
        <v>31</v>
      </c>
      <c r="B49" s="5">
        <v>9</v>
      </c>
      <c r="C49" s="5"/>
      <c r="D49" s="5"/>
      <c r="E49" s="5"/>
      <c r="F49" s="5">
        <v>1</v>
      </c>
      <c r="G49" s="5"/>
      <c r="H49" s="7"/>
      <c r="I49" s="7"/>
      <c r="J49" s="7"/>
      <c r="K49" s="7"/>
      <c r="L49" s="5">
        <v>10</v>
      </c>
      <c r="M49" s="5"/>
    </row>
    <row r="50" spans="1:13">
      <c r="A50" t="s">
        <v>148</v>
      </c>
      <c r="B50" s="3">
        <v>2.25</v>
      </c>
      <c r="C50" s="3"/>
      <c r="D50" s="3"/>
      <c r="E50" s="3"/>
      <c r="F50" s="502" t="s">
        <v>7</v>
      </c>
      <c r="G50" s="502"/>
      <c r="H50">
        <v>1</v>
      </c>
    </row>
    <row r="51" spans="1:13">
      <c r="A51" t="s">
        <v>147</v>
      </c>
      <c r="B51" s="3">
        <v>4.5</v>
      </c>
      <c r="C51" s="3"/>
      <c r="D51" s="3"/>
      <c r="E51" s="3"/>
      <c r="F51" s="502" t="s">
        <v>4</v>
      </c>
      <c r="G51" s="502"/>
      <c r="H51">
        <v>0</v>
      </c>
    </row>
    <row r="52" spans="1:13">
      <c r="A52" t="s">
        <v>146</v>
      </c>
      <c r="B52" s="3">
        <v>6.75</v>
      </c>
      <c r="C52" s="3"/>
      <c r="D52" s="3"/>
      <c r="E52" s="3"/>
      <c r="F52" s="3"/>
      <c r="G52" s="3"/>
    </row>
    <row r="53" spans="1:13">
      <c r="A53" t="s">
        <v>145</v>
      </c>
      <c r="B53" s="3">
        <v>9</v>
      </c>
      <c r="C53" s="3"/>
      <c r="D53" s="3"/>
      <c r="E53" s="3"/>
      <c r="F53" s="3"/>
      <c r="G53" s="3"/>
    </row>
    <row r="54" spans="1:13">
      <c r="B54" s="3"/>
      <c r="C54" s="3"/>
      <c r="D54" s="3"/>
      <c r="E54" s="3"/>
      <c r="F54" s="3"/>
      <c r="G54" s="3"/>
    </row>
    <row r="55" spans="1:13" ht="34.5">
      <c r="A55" s="6" t="s">
        <v>26</v>
      </c>
      <c r="B55" s="9">
        <v>13.5</v>
      </c>
      <c r="C55" s="9"/>
      <c r="D55" s="10"/>
      <c r="E55" s="10"/>
      <c r="F55" s="9">
        <v>1.5</v>
      </c>
      <c r="G55" s="9"/>
      <c r="H55" s="8"/>
      <c r="I55" s="7"/>
      <c r="J55" s="7"/>
      <c r="K55" s="7"/>
      <c r="L55" s="5">
        <v>15</v>
      </c>
      <c r="M55" s="5"/>
    </row>
    <row r="56" spans="1:13">
      <c r="A56" t="s">
        <v>144</v>
      </c>
      <c r="B56" s="3">
        <v>3.375</v>
      </c>
      <c r="C56" s="3"/>
      <c r="D56" s="3"/>
      <c r="E56" s="3"/>
      <c r="F56" s="502" t="s">
        <v>7</v>
      </c>
      <c r="G56" s="502"/>
      <c r="H56">
        <v>1.5</v>
      </c>
    </row>
    <row r="57" spans="1:13">
      <c r="A57" t="s">
        <v>143</v>
      </c>
      <c r="B57" s="3">
        <v>6.75</v>
      </c>
      <c r="C57" s="3"/>
      <c r="D57" s="3"/>
      <c r="E57" s="3"/>
      <c r="F57" s="502" t="s">
        <v>4</v>
      </c>
      <c r="G57" s="502"/>
      <c r="H57">
        <v>0</v>
      </c>
    </row>
    <row r="58" spans="1:13">
      <c r="A58" t="s">
        <v>142</v>
      </c>
      <c r="B58" s="3">
        <v>10.125</v>
      </c>
      <c r="C58" s="3"/>
      <c r="D58" s="3"/>
      <c r="E58" s="3"/>
      <c r="F58" s="3"/>
      <c r="G58" s="3"/>
    </row>
    <row r="59" spans="1:13">
      <c r="A59" t="s">
        <v>141</v>
      </c>
      <c r="B59" s="3">
        <v>13.5</v>
      </c>
      <c r="C59" s="3"/>
      <c r="D59" s="3"/>
      <c r="E59" s="3"/>
      <c r="F59" s="3"/>
      <c r="G59" s="3"/>
    </row>
    <row r="60" spans="1:13">
      <c r="B60" s="3"/>
      <c r="C60" s="3"/>
      <c r="D60" s="3"/>
      <c r="E60" s="3"/>
      <c r="F60" s="3"/>
      <c r="G60" s="3"/>
    </row>
    <row r="61" spans="1:13" ht="17.25">
      <c r="A61" s="6" t="s">
        <v>21</v>
      </c>
      <c r="B61" s="9">
        <v>13.5</v>
      </c>
      <c r="C61" s="9"/>
      <c r="D61" s="10"/>
      <c r="E61" s="10"/>
      <c r="F61" s="9">
        <v>1.5</v>
      </c>
      <c r="G61" s="9"/>
      <c r="H61" s="8"/>
      <c r="I61" s="7"/>
      <c r="J61" s="7"/>
      <c r="K61" s="7"/>
      <c r="L61" s="5">
        <v>15</v>
      </c>
      <c r="M61" s="5"/>
    </row>
    <row r="62" spans="1:13">
      <c r="A62" t="s">
        <v>140</v>
      </c>
      <c r="B62" s="3">
        <v>3.375</v>
      </c>
      <c r="C62" s="3"/>
      <c r="D62" s="3"/>
      <c r="E62" s="3"/>
      <c r="F62" s="3" t="s">
        <v>7</v>
      </c>
      <c r="G62" s="3"/>
      <c r="H62">
        <v>1.5</v>
      </c>
    </row>
    <row r="63" spans="1:13">
      <c r="A63" t="s">
        <v>139</v>
      </c>
      <c r="B63" s="3">
        <v>6.75</v>
      </c>
      <c r="C63" s="3"/>
      <c r="D63" s="3"/>
      <c r="E63" s="3"/>
      <c r="F63" s="3" t="s">
        <v>4</v>
      </c>
      <c r="G63" s="3"/>
      <c r="H63">
        <v>0</v>
      </c>
    </row>
    <row r="64" spans="1:13">
      <c r="A64" t="s">
        <v>138</v>
      </c>
      <c r="B64" s="3">
        <v>10.125</v>
      </c>
      <c r="C64" s="3"/>
      <c r="D64" s="3"/>
      <c r="E64" s="3"/>
      <c r="F64" s="3"/>
      <c r="G64" s="3"/>
    </row>
    <row r="65" spans="1:13">
      <c r="A65" t="s">
        <v>137</v>
      </c>
      <c r="B65" s="3">
        <v>13.5</v>
      </c>
      <c r="C65" s="3"/>
      <c r="D65" s="3"/>
      <c r="E65" s="3"/>
      <c r="F65" s="3"/>
      <c r="G65" s="3"/>
    </row>
    <row r="66" spans="1:13">
      <c r="B66" s="3"/>
      <c r="C66" s="3"/>
      <c r="D66" s="3"/>
      <c r="E66" s="3"/>
      <c r="F66" s="3"/>
      <c r="G66" s="3"/>
    </row>
    <row r="67" spans="1:13" ht="34.5">
      <c r="A67" s="6" t="s">
        <v>16</v>
      </c>
      <c r="B67" s="5">
        <v>4.5</v>
      </c>
      <c r="C67" s="5"/>
      <c r="D67" s="3" t="s">
        <v>10</v>
      </c>
      <c r="E67" s="5"/>
      <c r="F67" s="5">
        <v>0.5</v>
      </c>
      <c r="G67" s="5"/>
      <c r="H67" s="7"/>
      <c r="I67" s="7"/>
      <c r="J67" s="7"/>
      <c r="K67" s="7"/>
      <c r="L67" s="5">
        <v>5</v>
      </c>
      <c r="M67" s="5"/>
    </row>
    <row r="68" spans="1:13">
      <c r="A68" t="s">
        <v>136</v>
      </c>
      <c r="B68" s="3">
        <v>1.125</v>
      </c>
      <c r="C68" s="3"/>
      <c r="D68" s="3" t="s">
        <v>8</v>
      </c>
      <c r="E68" s="3">
        <f>QUARTILE(AD4:AD13,1)</f>
        <v>1.071825</v>
      </c>
      <c r="F68" s="502" t="s">
        <v>7</v>
      </c>
      <c r="G68" s="502"/>
      <c r="H68">
        <v>0.5</v>
      </c>
    </row>
    <row r="69" spans="1:13">
      <c r="A69" t="s">
        <v>135</v>
      </c>
      <c r="B69" s="3">
        <v>2.25</v>
      </c>
      <c r="C69" s="3"/>
      <c r="D69" s="3" t="s">
        <v>5</v>
      </c>
      <c r="E69" s="3">
        <f>QUARTILE(AD4:AD13,2)</f>
        <v>1.1224499999999999</v>
      </c>
      <c r="F69" s="502" t="s">
        <v>4</v>
      </c>
      <c r="G69" s="502"/>
      <c r="H69">
        <v>0</v>
      </c>
    </row>
    <row r="70" spans="1:13">
      <c r="A70" t="s">
        <v>134</v>
      </c>
      <c r="B70" s="3">
        <v>3.375</v>
      </c>
      <c r="C70" s="3"/>
      <c r="D70" s="3" t="s">
        <v>2</v>
      </c>
      <c r="E70" s="3">
        <f>QUARTILE(AD4:AD13,3)</f>
        <v>1.200475</v>
      </c>
      <c r="F70" s="3"/>
      <c r="G70" s="3"/>
    </row>
    <row r="71" spans="1:13">
      <c r="A71" t="s">
        <v>133</v>
      </c>
      <c r="B71" s="3">
        <v>4.5</v>
      </c>
      <c r="C71" s="3"/>
      <c r="D71" s="3"/>
      <c r="E71" s="3"/>
      <c r="F71" s="3"/>
      <c r="G71" s="3"/>
    </row>
    <row r="72" spans="1:13">
      <c r="B72" s="3"/>
      <c r="C72" s="3"/>
      <c r="D72" s="3"/>
      <c r="E72" s="3"/>
      <c r="F72" s="3"/>
      <c r="G72" s="3"/>
    </row>
    <row r="73" spans="1:13" ht="17.25">
      <c r="A73" s="6" t="s">
        <v>11</v>
      </c>
      <c r="B73" s="5">
        <v>9</v>
      </c>
      <c r="C73" s="5"/>
      <c r="D73" s="3" t="s">
        <v>10</v>
      </c>
      <c r="E73" s="5"/>
      <c r="F73" s="5">
        <v>1</v>
      </c>
      <c r="G73" s="5"/>
      <c r="H73" s="5"/>
      <c r="I73" s="5"/>
      <c r="J73" s="5"/>
      <c r="K73" s="5"/>
      <c r="L73" s="5">
        <v>10</v>
      </c>
      <c r="M73" s="5"/>
    </row>
    <row r="74" spans="1:13">
      <c r="A74" t="s">
        <v>132</v>
      </c>
      <c r="B74" s="3">
        <v>2.25</v>
      </c>
      <c r="C74" s="3"/>
      <c r="D74" s="3" t="s">
        <v>8</v>
      </c>
      <c r="E74" s="4">
        <f>QUARTILE(AH4:AH13,1)</f>
        <v>2.3025E-2</v>
      </c>
      <c r="F74" s="502" t="s">
        <v>7</v>
      </c>
      <c r="G74" s="502"/>
      <c r="H74">
        <v>1</v>
      </c>
    </row>
    <row r="75" spans="1:13">
      <c r="A75" t="s">
        <v>131</v>
      </c>
      <c r="B75" s="3">
        <v>4.5</v>
      </c>
      <c r="C75" s="3"/>
      <c r="D75" s="3" t="s">
        <v>5</v>
      </c>
      <c r="E75" s="4">
        <f>QUARTILE(AH4:AH13,2)</f>
        <v>5.4699999999999999E-2</v>
      </c>
      <c r="F75" s="502" t="s">
        <v>4</v>
      </c>
      <c r="G75" s="502"/>
      <c r="H75">
        <v>0</v>
      </c>
    </row>
    <row r="76" spans="1:13">
      <c r="A76" t="s">
        <v>130</v>
      </c>
      <c r="B76" s="3">
        <v>6.75</v>
      </c>
      <c r="C76" s="3"/>
      <c r="D76" s="3" t="s">
        <v>2</v>
      </c>
      <c r="E76" s="4">
        <f>QUARTILE(AH4:AH13,3)</f>
        <v>7.6399999999999996E-2</v>
      </c>
      <c r="F76" s="3"/>
      <c r="G76" s="3"/>
    </row>
    <row r="77" spans="1:13">
      <c r="A77" t="s">
        <v>129</v>
      </c>
      <c r="B77" s="3">
        <v>9</v>
      </c>
      <c r="C77" s="3"/>
      <c r="D77" s="3"/>
      <c r="E77" s="3"/>
      <c r="F77" s="3"/>
      <c r="G77" s="3"/>
    </row>
    <row r="78" spans="1:13">
      <c r="B78" s="3"/>
      <c r="C78" s="3"/>
      <c r="D78" s="3"/>
      <c r="E78" s="3"/>
      <c r="F78" s="3"/>
      <c r="G78" s="3"/>
    </row>
    <row r="79" spans="1:13" ht="18.75">
      <c r="B79" s="504" t="s">
        <v>0</v>
      </c>
      <c r="C79" s="504"/>
      <c r="D79" s="504"/>
      <c r="E79" s="504"/>
      <c r="F79" s="504"/>
      <c r="G79" s="504"/>
      <c r="H79" s="504"/>
      <c r="I79" s="504"/>
      <c r="J79" s="504"/>
      <c r="K79" s="2"/>
      <c r="L79" s="1">
        <f>SUM(L18:L76)</f>
        <v>100</v>
      </c>
      <c r="M79" s="1"/>
    </row>
  </sheetData>
  <mergeCells count="13">
    <mergeCell ref="F69:G69"/>
    <mergeCell ref="F74:G74"/>
    <mergeCell ref="F75:G75"/>
    <mergeCell ref="B79:J79"/>
    <mergeCell ref="A1:AJ2"/>
    <mergeCell ref="AG16:AH16"/>
    <mergeCell ref="F44:G44"/>
    <mergeCell ref="F45:G45"/>
    <mergeCell ref="F50:G50"/>
    <mergeCell ref="F51:G51"/>
    <mergeCell ref="F56:G56"/>
    <mergeCell ref="F57:G57"/>
    <mergeCell ref="F68:G68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C18" sqref="C18"/>
    </sheetView>
  </sheetViews>
  <sheetFormatPr defaultRowHeight="15"/>
  <cols>
    <col min="2" max="2" width="27.140625" customWidth="1"/>
    <col min="3" max="3" width="17" customWidth="1"/>
    <col min="4" max="4" width="18.28515625" customWidth="1"/>
    <col min="6" max="6" width="11.5703125" bestFit="1" customWidth="1"/>
    <col min="7" max="7" width="19" bestFit="1" customWidth="1"/>
    <col min="8" max="8" width="14.85546875" bestFit="1" customWidth="1"/>
    <col min="10" max="10" width="28.42578125" bestFit="1" customWidth="1"/>
    <col min="12" max="12" width="51.85546875" bestFit="1" customWidth="1"/>
  </cols>
  <sheetData>
    <row r="1" spans="1:12">
      <c r="A1" s="504"/>
      <c r="B1" s="504"/>
      <c r="C1" s="504"/>
      <c r="D1" s="504"/>
      <c r="E1" s="504"/>
      <c r="F1" s="504"/>
      <c r="G1" s="504"/>
      <c r="H1" s="504"/>
      <c r="J1" s="2"/>
      <c r="K1" s="2"/>
    </row>
    <row r="2" spans="1:12">
      <c r="A2" s="453"/>
      <c r="B2" s="558" t="s">
        <v>186</v>
      </c>
      <c r="C2" s="451"/>
      <c r="D2" s="549" t="s">
        <v>185</v>
      </c>
      <c r="E2" s="549"/>
      <c r="F2" s="558" t="s">
        <v>93</v>
      </c>
      <c r="G2" s="451" t="s">
        <v>920</v>
      </c>
      <c r="H2" s="451" t="s">
        <v>917</v>
      </c>
      <c r="J2" s="2"/>
    </row>
    <row r="3" spans="1:12">
      <c r="A3" s="452" t="s">
        <v>77</v>
      </c>
      <c r="B3" s="538" t="s">
        <v>176</v>
      </c>
      <c r="C3" s="43" t="s">
        <v>77</v>
      </c>
      <c r="D3" s="559" t="s">
        <v>181</v>
      </c>
      <c r="E3" s="559"/>
      <c r="F3" s="38">
        <v>96.63</v>
      </c>
      <c r="G3" s="454">
        <v>2</v>
      </c>
      <c r="H3" s="118">
        <v>7.75</v>
      </c>
      <c r="I3" s="27"/>
      <c r="J3" s="14"/>
      <c r="K3" s="14"/>
    </row>
    <row r="4" spans="1:12">
      <c r="A4" s="452" t="s">
        <v>75</v>
      </c>
      <c r="B4" s="538" t="s">
        <v>177</v>
      </c>
      <c r="C4" s="43" t="s">
        <v>75</v>
      </c>
      <c r="D4" s="559" t="s">
        <v>177</v>
      </c>
      <c r="E4" s="559"/>
      <c r="F4" s="38">
        <v>93</v>
      </c>
      <c r="G4" s="43">
        <v>0</v>
      </c>
      <c r="H4" s="118">
        <v>2.5</v>
      </c>
      <c r="I4" s="27"/>
      <c r="J4" s="14"/>
      <c r="K4" s="14"/>
    </row>
    <row r="5" spans="1:12">
      <c r="A5" s="452" t="s">
        <v>69</v>
      </c>
      <c r="B5" s="538" t="s">
        <v>181</v>
      </c>
      <c r="C5" s="43" t="s">
        <v>69</v>
      </c>
      <c r="D5" s="559" t="s">
        <v>182</v>
      </c>
      <c r="E5" s="559"/>
      <c r="F5" s="38">
        <v>89.13</v>
      </c>
      <c r="G5" s="454">
        <v>3</v>
      </c>
      <c r="H5" s="118">
        <v>15.5</v>
      </c>
      <c r="I5" s="27"/>
      <c r="J5" s="14"/>
      <c r="K5" s="14"/>
    </row>
    <row r="6" spans="1:12">
      <c r="A6" s="452" t="s">
        <v>63</v>
      </c>
      <c r="B6" s="538" t="s">
        <v>184</v>
      </c>
      <c r="C6" s="43" t="s">
        <v>63</v>
      </c>
      <c r="D6" s="559" t="s">
        <v>184</v>
      </c>
      <c r="E6" s="559"/>
      <c r="F6" s="38">
        <v>87.75</v>
      </c>
      <c r="G6" s="43">
        <v>0</v>
      </c>
      <c r="H6" s="118">
        <v>1.75</v>
      </c>
      <c r="I6" s="27"/>
      <c r="J6" s="14"/>
      <c r="K6" s="14"/>
    </row>
    <row r="7" spans="1:12">
      <c r="A7" s="452" t="s">
        <v>65</v>
      </c>
      <c r="B7" s="538" t="s">
        <v>178</v>
      </c>
      <c r="C7" s="43" t="s">
        <v>65</v>
      </c>
      <c r="D7" s="559" t="s">
        <v>176</v>
      </c>
      <c r="E7" s="559"/>
      <c r="F7" s="38">
        <v>81.25</v>
      </c>
      <c r="G7" s="455">
        <v>4</v>
      </c>
      <c r="H7" s="118">
        <v>-9.8800000000000008</v>
      </c>
      <c r="I7" s="35"/>
      <c r="J7" s="34"/>
      <c r="K7" s="34" t="s">
        <v>183</v>
      </c>
      <c r="L7" s="28"/>
    </row>
    <row r="8" spans="1:12">
      <c r="A8" s="452" t="s">
        <v>73</v>
      </c>
      <c r="B8" s="538" t="s">
        <v>182</v>
      </c>
      <c r="C8" s="43" t="s">
        <v>73</v>
      </c>
      <c r="D8" s="559" t="s">
        <v>169</v>
      </c>
      <c r="E8" s="559"/>
      <c r="F8" s="38">
        <v>78</v>
      </c>
      <c r="G8" s="454">
        <v>3</v>
      </c>
      <c r="H8" s="118">
        <v>6</v>
      </c>
      <c r="I8" s="27"/>
      <c r="J8" s="14"/>
      <c r="K8" s="14"/>
    </row>
    <row r="9" spans="1:12">
      <c r="A9" s="452" t="s">
        <v>71</v>
      </c>
      <c r="B9" s="538" t="s">
        <v>172</v>
      </c>
      <c r="C9" s="43" t="s">
        <v>71</v>
      </c>
      <c r="D9" s="559" t="s">
        <v>171</v>
      </c>
      <c r="E9" s="559"/>
      <c r="F9" s="38">
        <v>76.25</v>
      </c>
      <c r="G9" s="454">
        <v>3</v>
      </c>
      <c r="H9" s="118">
        <v>21.87</v>
      </c>
      <c r="I9" s="27"/>
      <c r="J9" s="14"/>
      <c r="K9" s="14"/>
    </row>
    <row r="10" spans="1:12">
      <c r="A10" s="452" t="s">
        <v>67</v>
      </c>
      <c r="B10" s="538" t="s">
        <v>174</v>
      </c>
      <c r="C10" s="43" t="s">
        <v>67</v>
      </c>
      <c r="D10" s="559" t="s">
        <v>178</v>
      </c>
      <c r="E10" s="559"/>
      <c r="F10" s="38">
        <v>63.38</v>
      </c>
      <c r="G10" s="455">
        <v>3</v>
      </c>
      <c r="H10" s="118">
        <v>-17</v>
      </c>
      <c r="I10" s="27"/>
      <c r="J10" s="14"/>
      <c r="K10" s="14"/>
    </row>
    <row r="11" spans="1:12">
      <c r="A11" s="452" t="s">
        <v>79</v>
      </c>
      <c r="B11" s="538" t="s">
        <v>169</v>
      </c>
      <c r="C11" s="43" t="s">
        <v>79</v>
      </c>
      <c r="D11" s="559" t="s">
        <v>172</v>
      </c>
      <c r="E11" s="559"/>
      <c r="F11" s="38">
        <v>59.88</v>
      </c>
      <c r="G11" s="455">
        <v>2</v>
      </c>
      <c r="H11" s="118">
        <v>-13.37</v>
      </c>
      <c r="I11" s="27"/>
      <c r="J11" s="14"/>
      <c r="K11" s="14"/>
    </row>
    <row r="12" spans="1:12">
      <c r="A12" s="452" t="s">
        <v>61</v>
      </c>
      <c r="B12" s="538" t="s">
        <v>171</v>
      </c>
      <c r="C12" s="43" t="s">
        <v>61</v>
      </c>
      <c r="D12" s="559" t="s">
        <v>174</v>
      </c>
      <c r="E12" s="559"/>
      <c r="F12" s="38">
        <v>52.75</v>
      </c>
      <c r="G12" s="455">
        <v>2</v>
      </c>
      <c r="H12" s="118">
        <v>-19.5</v>
      </c>
      <c r="I12" s="27"/>
      <c r="J12" s="14"/>
      <c r="K12" s="14"/>
    </row>
    <row r="13" spans="1:12">
      <c r="A13" s="27"/>
      <c r="B13" s="14"/>
      <c r="C13" s="400"/>
      <c r="D13" s="505"/>
      <c r="E13" s="505"/>
      <c r="F13" s="400"/>
      <c r="G13" s="14"/>
      <c r="H13" s="14"/>
      <c r="I13" s="27"/>
      <c r="J13" s="14"/>
      <c r="K13" s="14"/>
    </row>
    <row r="14" spans="1:12">
      <c r="A14" s="27"/>
      <c r="B14" s="14"/>
      <c r="C14" s="400"/>
      <c r="D14" s="505"/>
      <c r="E14" s="505"/>
      <c r="F14" s="400"/>
      <c r="G14" s="14"/>
      <c r="H14" s="14"/>
      <c r="J14" s="14"/>
      <c r="K14" s="14"/>
    </row>
    <row r="15" spans="1:12">
      <c r="A15" s="27"/>
      <c r="B15" s="14"/>
      <c r="C15" s="400"/>
      <c r="D15" s="505"/>
      <c r="E15" s="505"/>
      <c r="F15" s="400"/>
      <c r="G15" s="14"/>
      <c r="H15" s="14"/>
      <c r="J15" s="14"/>
      <c r="K15" s="14"/>
    </row>
    <row r="16" spans="1:12">
      <c r="A16" s="27"/>
      <c r="B16" s="14"/>
      <c r="C16" s="400"/>
      <c r="D16" s="505"/>
      <c r="E16" s="505"/>
      <c r="F16" s="400"/>
      <c r="G16" s="14"/>
      <c r="H16" s="14"/>
      <c r="J16" s="14"/>
      <c r="K16" s="14"/>
    </row>
    <row r="17" spans="1:11">
      <c r="A17" s="27"/>
      <c r="B17" s="14"/>
      <c r="C17" s="400"/>
      <c r="D17" s="505"/>
      <c r="E17" s="505"/>
      <c r="F17" s="400"/>
      <c r="G17" s="14"/>
      <c r="H17" s="14"/>
      <c r="J17" s="14"/>
      <c r="K17" s="14"/>
    </row>
    <row r="18" spans="1:11">
      <c r="D18" s="30"/>
      <c r="E18" s="30"/>
      <c r="F18" s="30"/>
      <c r="G18" s="30"/>
      <c r="H18" s="30"/>
    </row>
  </sheetData>
  <mergeCells count="17">
    <mergeCell ref="A1:H1"/>
    <mergeCell ref="D14:E14"/>
    <mergeCell ref="D15:E15"/>
    <mergeCell ref="D16:E16"/>
    <mergeCell ref="D17:E17"/>
    <mergeCell ref="D2:E2"/>
    <mergeCell ref="D12:E12"/>
    <mergeCell ref="D13:E13"/>
    <mergeCell ref="D8:E8"/>
    <mergeCell ref="D9:E9"/>
    <mergeCell ref="D10:E10"/>
    <mergeCell ref="D11:E11"/>
    <mergeCell ref="D3:E3"/>
    <mergeCell ref="D4:E4"/>
    <mergeCell ref="D5:E5"/>
    <mergeCell ref="D6:E6"/>
    <mergeCell ref="D7:E7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L88"/>
  <sheetViews>
    <sheetView topLeftCell="A71" zoomScale="80" zoomScaleNormal="80" workbookViewId="0">
      <selection activeCell="H84" sqref="H84"/>
    </sheetView>
  </sheetViews>
  <sheetFormatPr defaultRowHeight="15"/>
  <cols>
    <col min="1" max="1" width="21.140625" bestFit="1" customWidth="1"/>
    <col min="2" max="2" width="10.85546875" bestFit="1" customWidth="1"/>
    <col min="3" max="3" width="12.28515625" bestFit="1" customWidth="1"/>
    <col min="4" max="4" width="14.7109375" bestFit="1" customWidth="1"/>
    <col min="5" max="5" width="12.28515625" bestFit="1" customWidth="1"/>
    <col min="6" max="6" width="15.140625" bestFit="1" customWidth="1"/>
    <col min="7" max="7" width="12.28515625" bestFit="1" customWidth="1"/>
    <col min="8" max="8" width="14.140625" bestFit="1" customWidth="1"/>
    <col min="9" max="9" width="12.28515625" bestFit="1" customWidth="1"/>
    <col min="10" max="10" width="15.5703125" bestFit="1" customWidth="1"/>
    <col min="11" max="11" width="12.28515625" bestFit="1" customWidth="1"/>
    <col min="12" max="12" width="20.140625" bestFit="1" customWidth="1"/>
    <col min="13" max="13" width="12.28515625" bestFit="1" customWidth="1"/>
    <col min="14" max="14" width="14.140625" bestFit="1" customWidth="1"/>
    <col min="15" max="15" width="12.28515625" bestFit="1" customWidth="1"/>
    <col min="16" max="16" width="14.140625" bestFit="1" customWidth="1"/>
    <col min="17" max="17" width="12.28515625" bestFit="1" customWidth="1"/>
    <col min="18" max="18" width="14.7109375" bestFit="1" customWidth="1"/>
    <col min="19" max="19" width="12.28515625" bestFit="1" customWidth="1"/>
    <col min="20" max="20" width="14.140625" bestFit="1" customWidth="1"/>
    <col min="21" max="21" width="12.28515625" bestFit="1" customWidth="1"/>
    <col min="22" max="22" width="14.85546875" bestFit="1" customWidth="1"/>
    <col min="23" max="23" width="12.28515625" bestFit="1" customWidth="1"/>
    <col min="24" max="24" width="14.140625" bestFit="1" customWidth="1"/>
    <col min="25" max="25" width="12.28515625" bestFit="1" customWidth="1"/>
    <col min="26" max="26" width="13.42578125" bestFit="1" customWidth="1"/>
    <col min="27" max="27" width="12.28515625" bestFit="1" customWidth="1"/>
    <col min="28" max="28" width="14.140625" bestFit="1" customWidth="1"/>
    <col min="29" max="29" width="12.28515625" bestFit="1" customWidth="1"/>
    <col min="30" max="30" width="14.140625" bestFit="1" customWidth="1"/>
    <col min="31" max="31" width="12.28515625" bestFit="1" customWidth="1"/>
    <col min="32" max="32" width="14.140625" bestFit="1" customWidth="1"/>
    <col min="33" max="33" width="12.28515625" bestFit="1" customWidth="1"/>
    <col min="34" max="34" width="9" bestFit="1" customWidth="1"/>
    <col min="35" max="35" width="12.28515625" bestFit="1" customWidth="1"/>
    <col min="36" max="36" width="14.140625" customWidth="1"/>
    <col min="37" max="37" width="12.28515625" bestFit="1" customWidth="1"/>
    <col min="38" max="38" width="8.7109375" bestFit="1" customWidth="1"/>
  </cols>
  <sheetData>
    <row r="1" spans="1:38">
      <c r="A1" s="503" t="s">
        <v>279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8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8" ht="60">
      <c r="A3" s="39" t="s">
        <v>97</v>
      </c>
      <c r="B3" s="39" t="s">
        <v>96</v>
      </c>
      <c r="C3" s="51" t="s">
        <v>93</v>
      </c>
      <c r="D3" s="51" t="s">
        <v>95</v>
      </c>
      <c r="E3" s="51" t="s">
        <v>93</v>
      </c>
      <c r="F3" s="39" t="s">
        <v>94</v>
      </c>
      <c r="G3" s="51" t="s">
        <v>83</v>
      </c>
      <c r="H3" s="51" t="s">
        <v>84</v>
      </c>
      <c r="I3" s="51" t="s">
        <v>93</v>
      </c>
      <c r="J3" s="39" t="s">
        <v>92</v>
      </c>
      <c r="K3" s="51" t="s">
        <v>83</v>
      </c>
      <c r="L3" s="52" t="s">
        <v>91</v>
      </c>
      <c r="M3" s="51" t="s">
        <v>83</v>
      </c>
      <c r="N3" s="51" t="s">
        <v>90</v>
      </c>
      <c r="O3" s="51" t="s">
        <v>83</v>
      </c>
      <c r="P3" s="51" t="s">
        <v>84</v>
      </c>
      <c r="Q3" s="51" t="s">
        <v>83</v>
      </c>
      <c r="R3" s="51" t="s">
        <v>89</v>
      </c>
      <c r="S3" s="51" t="s">
        <v>83</v>
      </c>
      <c r="T3" s="51" t="s">
        <v>84</v>
      </c>
      <c r="U3" s="51" t="s">
        <v>83</v>
      </c>
      <c r="V3" s="51" t="s">
        <v>88</v>
      </c>
      <c r="W3" s="51" t="s">
        <v>83</v>
      </c>
      <c r="X3" s="51" t="s">
        <v>84</v>
      </c>
      <c r="Y3" s="51" t="s">
        <v>83</v>
      </c>
      <c r="Z3" s="51" t="s">
        <v>87</v>
      </c>
      <c r="AA3" s="51" t="s">
        <v>83</v>
      </c>
      <c r="AB3" s="51" t="s">
        <v>84</v>
      </c>
      <c r="AC3" s="51" t="s">
        <v>83</v>
      </c>
      <c r="AD3" s="51" t="s">
        <v>86</v>
      </c>
      <c r="AE3" s="51" t="s">
        <v>83</v>
      </c>
      <c r="AF3" s="51" t="s">
        <v>84</v>
      </c>
      <c r="AG3" s="51" t="s">
        <v>83</v>
      </c>
      <c r="AH3" s="51" t="s">
        <v>85</v>
      </c>
      <c r="AI3" s="51" t="s">
        <v>83</v>
      </c>
      <c r="AJ3" s="51" t="s">
        <v>84</v>
      </c>
      <c r="AK3" s="51" t="s">
        <v>83</v>
      </c>
      <c r="AL3" s="51" t="s">
        <v>82</v>
      </c>
    </row>
    <row r="4" spans="1:38">
      <c r="A4" s="45" t="s">
        <v>245</v>
      </c>
      <c r="B4" s="43">
        <v>4.4000000000000004</v>
      </c>
      <c r="C4" s="43">
        <f t="shared" ref="C4:C23" si="0">IF(B4&gt;6.2,$B$31,IF(AND(B4&lt;=6.2,B4&gt;1.1),$B$30,IF(AND(B4&lt;=1.1,B4&gt;-4.8),$B$29,$B$28)))</f>
        <v>10.125</v>
      </c>
      <c r="D4" s="39">
        <v>0</v>
      </c>
      <c r="E4" s="39" t="str">
        <f t="shared" ref="E4:E23" si="1">IF(D4=0,"0",$F$27)</f>
        <v>0</v>
      </c>
      <c r="F4" s="43">
        <v>6.5</v>
      </c>
      <c r="G4" s="43">
        <f t="shared" ref="G4:G23" si="2">IF(F4&gt;34.3,$B$37,IF(AND(F4&lt;=34.3,F4&gt;6),$B$36,IF(AND(F4&lt;=6,F4&gt;0),$B$35,$B$34)))</f>
        <v>10.125</v>
      </c>
      <c r="H4" s="39">
        <v>0</v>
      </c>
      <c r="I4" s="39" t="str">
        <f t="shared" ref="I4:I23" si="3">IF(H4=0,"0",$F$34)</f>
        <v>0</v>
      </c>
      <c r="J4" s="46">
        <v>-3.6299999999999999E-2</v>
      </c>
      <c r="K4" s="40">
        <f t="shared" ref="K4:K23" si="4">IF(J4&gt;QUARTILE($J$4:$J$23,3),$B$44,IF(AND(J4&lt;=QUARTILE($J$4:$J$23,3),J4&gt;QUARTILE($J$4:$J$23,2)),$B$43,IF(AND(J4&lt;=QUARTILE($J$4:$J$23,2),J4&gt;QUARTILE($J$4:$J$23,1)),$B$42,$B$41)))</f>
        <v>1.25</v>
      </c>
      <c r="L4" s="46">
        <v>-0.63400000000000001</v>
      </c>
      <c r="M4" s="42">
        <f t="shared" ref="M4:M23" si="5">IF(L4&gt;QUARTILE($L$4:$L$23,3),$B$50,IF(AND(L4&lt;=QUARTILE($L$4:$L$23,3),L4&gt;QUARTILE($L$4:$L$23,2)),$B$49,IF(AND(L4&lt;=QUARTILE($L$4:$L$23,2),L4&gt;QUARTILE($L$4:$L$23,1)),$B$48,$B$47)))</f>
        <v>2.5</v>
      </c>
      <c r="N4" s="43">
        <v>16.260000000000002</v>
      </c>
      <c r="O4" s="40">
        <f t="shared" ref="O4:O23" si="6">IF(N4&gt;QUARTILE($N$4:$N$23,3),$B$56,IF(AND(N4&lt;=QUARTILE($N$4:$N$23,3),N4&gt;QUARTILE($N$4:$N$23,2)),$B$55,IF(AND(N4&lt;=QUARTILE($N$4:$N$23,2),N4&gt;QUARTILE($N$4:$N$23,1)),$B$54,$B$53)))</f>
        <v>4.5</v>
      </c>
      <c r="P4" s="43">
        <v>0</v>
      </c>
      <c r="Q4" s="43" t="str">
        <f t="shared" ref="Q4:Q23" si="7">IF(P4=0,"0",$F$52)</f>
        <v>0</v>
      </c>
      <c r="R4" s="46">
        <v>0.1206</v>
      </c>
      <c r="S4" s="42">
        <f t="shared" ref="S4:S23" si="8">IF(R4&gt;14.22%,$B$62,IF(AND(R4&lt;=14.22%,R4&gt;5.46%),$B$61,IF(AND(R4&lt;=5.46%,R4&gt;-3.38),$B$60,$B$59)))</f>
        <v>6.75</v>
      </c>
      <c r="T4" s="47">
        <v>0</v>
      </c>
      <c r="U4" s="42" t="str">
        <f t="shared" ref="U4:U23" si="9">IF(T4=0,"0",$F$58)</f>
        <v>0</v>
      </c>
      <c r="V4" s="46">
        <v>5.3699999999999998E-2</v>
      </c>
      <c r="W4" s="42">
        <f t="shared" ref="W4:W23" si="10">IF(V4&gt;7.92%,$B$68,IF(AND(V4&lt;=7.92%,V4&gt;2.12%),$B$67,IF(AND(V4&lt;=2.12%,V4&gt;-8.43),$B$66,$B$65)))</f>
        <v>10.125</v>
      </c>
      <c r="X4" s="47">
        <v>0</v>
      </c>
      <c r="Y4" s="42" t="str">
        <f t="shared" ref="Y4:Y23" si="11">IF(X4=0,"0",$F$64)</f>
        <v>0</v>
      </c>
      <c r="Z4" s="46">
        <v>4.1700000000000001E-2</v>
      </c>
      <c r="AA4" s="42">
        <f t="shared" ref="AA4:AA23" si="12">IF(Z4&gt;4.91%,$B$74,IF(AND(Z4&lt;=4.91%,Z4&gt;0.77%),$B$73,IF(AND(Z4&lt;=0.77%,Z4&gt;-10.59%),$B$72,$B$71)))</f>
        <v>10.125</v>
      </c>
      <c r="AB4" s="47">
        <v>0</v>
      </c>
      <c r="AC4" s="42" t="str">
        <f t="shared" ref="AC4:AC23" si="13">IF(AB4=0,"0",$F$70)</f>
        <v>0</v>
      </c>
      <c r="AD4" s="48">
        <v>1.0567</v>
      </c>
      <c r="AE4" s="40">
        <f t="shared" ref="AE4:AE23" si="14">IF(AD4&gt;QUARTILE($AD$4:$AD$23,3),$B$80,IF(AND(AD4&lt;=QUARTILE($AD$4:$AD$23,3),AD4&gt;QUARTILE($AD$4:$AD$23,2)),$B$79,IF(AND(AD4&lt;=QUARTILE($AD$4:$AD$23,2),AD4&gt;QUARTILE($AD$4:$AD$23,1)),$B$78,$B$77)))</f>
        <v>3.375</v>
      </c>
      <c r="AF4" s="47">
        <v>0</v>
      </c>
      <c r="AG4" s="42" t="str">
        <f t="shared" ref="AG4:AG23" si="15">IF(AF4=0,"0",$F$76)</f>
        <v>0</v>
      </c>
      <c r="AH4" s="46">
        <v>7.51E-2</v>
      </c>
      <c r="AI4" s="40">
        <f t="shared" ref="AI4:AI23" si="16">IF(AH4&gt;QUARTILE($AH$4:$AH$23,3),$B$86,IF(AND(AH4&lt;=QUARTILE($AH$4:$AH$23,3),AH4&gt;QUARTILE($AH$4:$AH$23,2)),$B$85,IF(AND(AH4&lt;=QUARTILE($AH$4:$AH$23,2),AH4&gt;QUARTILE($AH$4:$AH$23,1)),$B$84,$B$83)))</f>
        <v>9</v>
      </c>
      <c r="AJ4" s="39">
        <v>0</v>
      </c>
      <c r="AK4" s="39" t="str">
        <f t="shared" ref="AK4:AK23" si="17">IF(AJ4=0,"0",$F$82)</f>
        <v>0</v>
      </c>
      <c r="AL4" s="38">
        <f t="shared" ref="AL4:AL23" si="18">C4+E4+G4+I4+K4+M4+O4+Q4+S4+U4+W4+Y4+AA4+AC4+AE4+AG4+AI4+AK4</f>
        <v>67.875</v>
      </c>
    </row>
    <row r="5" spans="1:38">
      <c r="A5" s="45" t="s">
        <v>244</v>
      </c>
      <c r="B5" s="43">
        <v>3</v>
      </c>
      <c r="C5" s="43">
        <f t="shared" si="0"/>
        <v>10.125</v>
      </c>
      <c r="D5" s="39">
        <v>0</v>
      </c>
      <c r="E5" s="39" t="str">
        <f t="shared" si="1"/>
        <v>0</v>
      </c>
      <c r="F5" s="43">
        <v>3.5</v>
      </c>
      <c r="G5" s="43">
        <f t="shared" si="2"/>
        <v>6.75</v>
      </c>
      <c r="H5" s="39">
        <v>0</v>
      </c>
      <c r="I5" s="39" t="str">
        <f t="shared" si="3"/>
        <v>0</v>
      </c>
      <c r="J5" s="46">
        <v>3.3399999999999999E-2</v>
      </c>
      <c r="K5" s="40">
        <f t="shared" si="4"/>
        <v>3.75</v>
      </c>
      <c r="L5" s="46">
        <v>-0.41699999999999998</v>
      </c>
      <c r="M5" s="42">
        <f t="shared" si="5"/>
        <v>2.5</v>
      </c>
      <c r="N5" s="43">
        <v>91.65</v>
      </c>
      <c r="O5" s="40">
        <f t="shared" si="6"/>
        <v>2.25</v>
      </c>
      <c r="P5" s="43">
        <v>0</v>
      </c>
      <c r="Q5" s="43" t="str">
        <f t="shared" si="7"/>
        <v>0</v>
      </c>
      <c r="R5" s="46">
        <v>6.9699999999999998E-2</v>
      </c>
      <c r="S5" s="42">
        <f t="shared" si="8"/>
        <v>6.75</v>
      </c>
      <c r="T5" s="47">
        <v>0</v>
      </c>
      <c r="U5" s="42" t="str">
        <f t="shared" si="9"/>
        <v>0</v>
      </c>
      <c r="V5" s="46">
        <v>2.69E-2</v>
      </c>
      <c r="W5" s="42">
        <f t="shared" si="10"/>
        <v>10.125</v>
      </c>
      <c r="X5" s="47">
        <v>0</v>
      </c>
      <c r="Y5" s="42" t="str">
        <f t="shared" si="11"/>
        <v>0</v>
      </c>
      <c r="Z5" s="46">
        <v>2.52E-2</v>
      </c>
      <c r="AA5" s="42">
        <f t="shared" si="12"/>
        <v>10.125</v>
      </c>
      <c r="AB5" s="47">
        <v>0</v>
      </c>
      <c r="AC5" s="42" t="str">
        <f t="shared" si="13"/>
        <v>0</v>
      </c>
      <c r="AD5" s="48">
        <v>1.0276000000000001</v>
      </c>
      <c r="AE5" s="40">
        <f t="shared" si="14"/>
        <v>2.25</v>
      </c>
      <c r="AF5" s="47">
        <v>0</v>
      </c>
      <c r="AG5" s="42" t="str">
        <f t="shared" si="15"/>
        <v>0</v>
      </c>
      <c r="AH5" s="46">
        <v>5.8500000000000003E-2</v>
      </c>
      <c r="AI5" s="40">
        <f t="shared" si="16"/>
        <v>6.75</v>
      </c>
      <c r="AJ5" s="39">
        <v>0</v>
      </c>
      <c r="AK5" s="39" t="str">
        <f t="shared" si="17"/>
        <v>0</v>
      </c>
      <c r="AL5" s="38">
        <f t="shared" si="18"/>
        <v>61.375</v>
      </c>
    </row>
    <row r="6" spans="1:38">
      <c r="A6" s="45" t="s">
        <v>243</v>
      </c>
      <c r="B6" s="43">
        <v>3.8</v>
      </c>
      <c r="C6" s="43">
        <f t="shared" si="0"/>
        <v>10.125</v>
      </c>
      <c r="D6" s="39">
        <v>1</v>
      </c>
      <c r="E6" s="39">
        <f t="shared" si="1"/>
        <v>1.5</v>
      </c>
      <c r="F6" s="43">
        <v>6.6</v>
      </c>
      <c r="G6" s="43">
        <f t="shared" si="2"/>
        <v>10.125</v>
      </c>
      <c r="H6" s="39">
        <v>1</v>
      </c>
      <c r="I6" s="39">
        <f t="shared" si="3"/>
        <v>1.5</v>
      </c>
      <c r="J6" s="46">
        <v>-1.37E-2</v>
      </c>
      <c r="K6" s="40">
        <f t="shared" si="4"/>
        <v>1.25</v>
      </c>
      <c r="L6" s="46">
        <v>1.3759999999999999</v>
      </c>
      <c r="M6" s="42">
        <f t="shared" si="5"/>
        <v>5</v>
      </c>
      <c r="N6" s="43">
        <v>110.61</v>
      </c>
      <c r="O6" s="40">
        <f t="shared" si="6"/>
        <v>1.125</v>
      </c>
      <c r="P6" s="43">
        <v>0</v>
      </c>
      <c r="Q6" s="43" t="str">
        <f t="shared" si="7"/>
        <v>0</v>
      </c>
      <c r="R6" s="46">
        <v>0.1187</v>
      </c>
      <c r="S6" s="42">
        <f t="shared" si="8"/>
        <v>6.75</v>
      </c>
      <c r="T6" s="47">
        <v>1</v>
      </c>
      <c r="U6" s="42">
        <f t="shared" si="9"/>
        <v>1</v>
      </c>
      <c r="V6" s="46">
        <v>7.6300000000000007E-2</v>
      </c>
      <c r="W6" s="42">
        <f t="shared" si="10"/>
        <v>10.125</v>
      </c>
      <c r="X6" s="47">
        <v>1</v>
      </c>
      <c r="Y6" s="42">
        <f t="shared" si="11"/>
        <v>1.5</v>
      </c>
      <c r="Z6" s="46">
        <v>4.0899999999999999E-2</v>
      </c>
      <c r="AA6" s="42">
        <f t="shared" si="12"/>
        <v>10.125</v>
      </c>
      <c r="AB6" s="47">
        <v>1</v>
      </c>
      <c r="AC6" s="42">
        <f t="shared" si="13"/>
        <v>1.5</v>
      </c>
      <c r="AD6" s="48">
        <v>1.0826</v>
      </c>
      <c r="AE6" s="40">
        <f t="shared" si="14"/>
        <v>4.5</v>
      </c>
      <c r="AF6" s="47">
        <v>1</v>
      </c>
      <c r="AG6" s="42">
        <f t="shared" si="15"/>
        <v>0.5</v>
      </c>
      <c r="AH6" s="46">
        <v>5.7799999999999997E-2</v>
      </c>
      <c r="AI6" s="40">
        <f t="shared" si="16"/>
        <v>4.5</v>
      </c>
      <c r="AJ6" s="39">
        <v>1</v>
      </c>
      <c r="AK6" s="39">
        <f t="shared" si="17"/>
        <v>1</v>
      </c>
      <c r="AL6" s="38">
        <f t="shared" si="18"/>
        <v>72.125</v>
      </c>
    </row>
    <row r="7" spans="1:38">
      <c r="A7" s="45" t="s">
        <v>242</v>
      </c>
      <c r="B7" s="43">
        <v>1.5</v>
      </c>
      <c r="C7" s="43">
        <f t="shared" si="0"/>
        <v>10.125</v>
      </c>
      <c r="D7" s="39">
        <v>1</v>
      </c>
      <c r="E7" s="39">
        <f t="shared" si="1"/>
        <v>1.5</v>
      </c>
      <c r="F7" s="43">
        <v>1</v>
      </c>
      <c r="G7" s="43">
        <f t="shared" si="2"/>
        <v>6.75</v>
      </c>
      <c r="H7" s="39">
        <v>0</v>
      </c>
      <c r="I7" s="39" t="str">
        <f t="shared" si="3"/>
        <v>0</v>
      </c>
      <c r="J7" s="46">
        <v>-1.5699999999999999E-2</v>
      </c>
      <c r="K7" s="40">
        <f t="shared" si="4"/>
        <v>1.25</v>
      </c>
      <c r="L7" s="46">
        <v>-0.24199999999999999</v>
      </c>
      <c r="M7" s="42">
        <f t="shared" si="5"/>
        <v>3.75</v>
      </c>
      <c r="N7" s="43">
        <v>54.19</v>
      </c>
      <c r="O7" s="40">
        <f t="shared" si="6"/>
        <v>3.375</v>
      </c>
      <c r="P7" s="43">
        <v>1</v>
      </c>
      <c r="Q7" s="43">
        <f t="shared" si="7"/>
        <v>0.5</v>
      </c>
      <c r="R7" s="46">
        <v>6.7400000000000002E-2</v>
      </c>
      <c r="S7" s="42">
        <f t="shared" si="8"/>
        <v>6.75</v>
      </c>
      <c r="T7" s="47">
        <v>1</v>
      </c>
      <c r="U7" s="42">
        <f t="shared" si="9"/>
        <v>1</v>
      </c>
      <c r="V7" s="46">
        <v>2.3400000000000001E-2</v>
      </c>
      <c r="W7" s="42">
        <f t="shared" si="10"/>
        <v>10.125</v>
      </c>
      <c r="X7" s="47">
        <v>0</v>
      </c>
      <c r="Y7" s="42" t="str">
        <f t="shared" si="11"/>
        <v>0</v>
      </c>
      <c r="Z7" s="46">
        <v>7.0000000000000001E-3</v>
      </c>
      <c r="AA7" s="42">
        <f t="shared" si="12"/>
        <v>6.75</v>
      </c>
      <c r="AB7" s="47">
        <v>0</v>
      </c>
      <c r="AC7" s="42" t="str">
        <f t="shared" si="13"/>
        <v>0</v>
      </c>
      <c r="AD7" s="48">
        <v>1.0234000000000001</v>
      </c>
      <c r="AE7" s="40">
        <f t="shared" si="14"/>
        <v>2.25</v>
      </c>
      <c r="AF7" s="47">
        <v>0</v>
      </c>
      <c r="AG7" s="42" t="str">
        <f t="shared" si="15"/>
        <v>0</v>
      </c>
      <c r="AH7" s="46">
        <v>3.2899999999999999E-2</v>
      </c>
      <c r="AI7" s="40">
        <f t="shared" si="16"/>
        <v>2.25</v>
      </c>
      <c r="AJ7" s="39">
        <v>1</v>
      </c>
      <c r="AK7" s="39">
        <f t="shared" si="17"/>
        <v>1</v>
      </c>
      <c r="AL7" s="38">
        <f t="shared" si="18"/>
        <v>57.375</v>
      </c>
    </row>
    <row r="8" spans="1:38">
      <c r="A8" s="45" t="s">
        <v>241</v>
      </c>
      <c r="B8" s="43">
        <v>5.4</v>
      </c>
      <c r="C8" s="43">
        <f t="shared" si="0"/>
        <v>10.125</v>
      </c>
      <c r="D8" s="39">
        <v>0</v>
      </c>
      <c r="E8" s="39" t="str">
        <f t="shared" si="1"/>
        <v>0</v>
      </c>
      <c r="F8" s="43">
        <v>7</v>
      </c>
      <c r="G8" s="43">
        <f t="shared" si="2"/>
        <v>10.125</v>
      </c>
      <c r="H8" s="39">
        <v>0</v>
      </c>
      <c r="I8" s="39" t="str">
        <f t="shared" si="3"/>
        <v>0</v>
      </c>
      <c r="J8" s="46">
        <v>5.0000000000000001E-4</v>
      </c>
      <c r="K8" s="40">
        <f t="shared" si="4"/>
        <v>2.5</v>
      </c>
      <c r="L8" s="46">
        <v>-5.2999999999999999E-2</v>
      </c>
      <c r="M8" s="42">
        <f t="shared" si="5"/>
        <v>3.75</v>
      </c>
      <c r="N8" s="43">
        <v>104.52</v>
      </c>
      <c r="O8" s="40">
        <f t="shared" si="6"/>
        <v>1.125</v>
      </c>
      <c r="P8" s="43">
        <v>0</v>
      </c>
      <c r="Q8" s="43" t="str">
        <f t="shared" si="7"/>
        <v>0</v>
      </c>
      <c r="R8" s="46">
        <v>0.16339999999999999</v>
      </c>
      <c r="S8" s="42">
        <f t="shared" si="8"/>
        <v>9</v>
      </c>
      <c r="T8" s="47">
        <v>0</v>
      </c>
      <c r="U8" s="42" t="str">
        <f t="shared" si="9"/>
        <v>0</v>
      </c>
      <c r="V8" s="46">
        <v>0.10539999999999999</v>
      </c>
      <c r="W8" s="42">
        <f t="shared" si="10"/>
        <v>13.5</v>
      </c>
      <c r="X8" s="47">
        <v>0</v>
      </c>
      <c r="Y8" s="42" t="str">
        <f t="shared" si="11"/>
        <v>0</v>
      </c>
      <c r="Z8" s="46">
        <v>0.10710000000000001</v>
      </c>
      <c r="AA8" s="42">
        <f t="shared" si="12"/>
        <v>13.5</v>
      </c>
      <c r="AB8" s="47">
        <v>0</v>
      </c>
      <c r="AC8" s="42" t="str">
        <f t="shared" si="13"/>
        <v>0</v>
      </c>
      <c r="AD8" s="48">
        <v>1.1177999999999999</v>
      </c>
      <c r="AE8" s="40">
        <f t="shared" si="14"/>
        <v>4.5</v>
      </c>
      <c r="AF8" s="47">
        <v>0</v>
      </c>
      <c r="AG8" s="42" t="str">
        <f t="shared" si="15"/>
        <v>0</v>
      </c>
      <c r="AH8" s="46">
        <v>6.5500000000000003E-2</v>
      </c>
      <c r="AI8" s="40">
        <f t="shared" si="16"/>
        <v>6.75</v>
      </c>
      <c r="AJ8" s="39">
        <v>0</v>
      </c>
      <c r="AK8" s="39" t="str">
        <f t="shared" si="17"/>
        <v>0</v>
      </c>
      <c r="AL8" s="38">
        <f t="shared" si="18"/>
        <v>74.875</v>
      </c>
    </row>
    <row r="9" spans="1:38">
      <c r="A9" s="45" t="s">
        <v>240</v>
      </c>
      <c r="B9" s="43">
        <v>6.2</v>
      </c>
      <c r="C9" s="43">
        <f t="shared" si="0"/>
        <v>10.125</v>
      </c>
      <c r="D9" s="39">
        <v>0</v>
      </c>
      <c r="E9" s="39" t="str">
        <f t="shared" si="1"/>
        <v>0</v>
      </c>
      <c r="F9" s="43">
        <v>9.6</v>
      </c>
      <c r="G9" s="43">
        <f t="shared" si="2"/>
        <v>10.125</v>
      </c>
      <c r="H9" s="39">
        <v>0</v>
      </c>
      <c r="I9" s="39" t="str">
        <f t="shared" si="3"/>
        <v>0</v>
      </c>
      <c r="J9" s="46">
        <v>6.7299999999999999E-2</v>
      </c>
      <c r="K9" s="40">
        <f t="shared" si="4"/>
        <v>5</v>
      </c>
      <c r="L9" s="46">
        <v>-0.47499999999999998</v>
      </c>
      <c r="M9" s="42">
        <f t="shared" si="5"/>
        <v>2.5</v>
      </c>
      <c r="N9" s="43">
        <v>68.02</v>
      </c>
      <c r="O9" s="40">
        <f t="shared" si="6"/>
        <v>2.25</v>
      </c>
      <c r="P9" s="43">
        <v>1</v>
      </c>
      <c r="Q9" s="43">
        <f t="shared" si="7"/>
        <v>0.5</v>
      </c>
      <c r="R9" s="46">
        <v>7.400000000000001E-2</v>
      </c>
      <c r="S9" s="42">
        <f t="shared" si="8"/>
        <v>6.75</v>
      </c>
      <c r="T9" s="47">
        <v>0</v>
      </c>
      <c r="U9" s="42" t="str">
        <f t="shared" si="9"/>
        <v>0</v>
      </c>
      <c r="V9" s="46">
        <v>5.3600000000000002E-2</v>
      </c>
      <c r="W9" s="42">
        <f t="shared" si="10"/>
        <v>10.125</v>
      </c>
      <c r="X9" s="47">
        <v>0</v>
      </c>
      <c r="Y9" s="42" t="str">
        <f t="shared" si="11"/>
        <v>0</v>
      </c>
      <c r="Z9" s="46">
        <v>2.6200000000000001E-2</v>
      </c>
      <c r="AA9" s="42">
        <f t="shared" si="12"/>
        <v>10.125</v>
      </c>
      <c r="AB9" s="47">
        <v>0</v>
      </c>
      <c r="AC9" s="42" t="str">
        <f t="shared" si="13"/>
        <v>0</v>
      </c>
      <c r="AD9" s="48">
        <v>1.0566</v>
      </c>
      <c r="AE9" s="40">
        <f t="shared" si="14"/>
        <v>3.375</v>
      </c>
      <c r="AF9" s="47">
        <v>0</v>
      </c>
      <c r="AG9" s="42" t="str">
        <f t="shared" si="15"/>
        <v>0</v>
      </c>
      <c r="AH9" s="46">
        <v>5.74E-2</v>
      </c>
      <c r="AI9" s="40">
        <f t="shared" si="16"/>
        <v>4.5</v>
      </c>
      <c r="AJ9" s="39">
        <v>0</v>
      </c>
      <c r="AK9" s="39" t="str">
        <f t="shared" si="17"/>
        <v>0</v>
      </c>
      <c r="AL9" s="38">
        <f t="shared" si="18"/>
        <v>65.375</v>
      </c>
    </row>
    <row r="10" spans="1:38">
      <c r="A10" s="45" t="s">
        <v>239</v>
      </c>
      <c r="B10" s="43">
        <v>3.5</v>
      </c>
      <c r="C10" s="43">
        <f t="shared" si="0"/>
        <v>10.125</v>
      </c>
      <c r="D10" s="39">
        <v>1</v>
      </c>
      <c r="E10" s="39">
        <f t="shared" si="1"/>
        <v>1.5</v>
      </c>
      <c r="F10" s="43">
        <v>4.5999999999999996</v>
      </c>
      <c r="G10" s="43">
        <f t="shared" si="2"/>
        <v>6.75</v>
      </c>
      <c r="H10" s="39">
        <v>1</v>
      </c>
      <c r="I10" s="39">
        <f t="shared" si="3"/>
        <v>1.5</v>
      </c>
      <c r="J10" s="46">
        <v>3.0999999999999999E-3</v>
      </c>
      <c r="K10" s="40">
        <f t="shared" si="4"/>
        <v>2.5</v>
      </c>
      <c r="L10" s="46">
        <v>3.4830000000000001</v>
      </c>
      <c r="M10" s="42">
        <f t="shared" si="5"/>
        <v>5</v>
      </c>
      <c r="N10" s="43">
        <v>66.099999999999994</v>
      </c>
      <c r="O10" s="40">
        <f t="shared" si="6"/>
        <v>2.25</v>
      </c>
      <c r="P10" s="43">
        <v>0</v>
      </c>
      <c r="Q10" s="43" t="str">
        <f t="shared" si="7"/>
        <v>0</v>
      </c>
      <c r="R10" s="46">
        <v>8.1799999999999998E-2</v>
      </c>
      <c r="S10" s="42">
        <f t="shared" si="8"/>
        <v>6.75</v>
      </c>
      <c r="T10" s="47">
        <v>1</v>
      </c>
      <c r="U10" s="42">
        <f t="shared" si="9"/>
        <v>1</v>
      </c>
      <c r="V10" s="46">
        <v>-3.0999999999999999E-3</v>
      </c>
      <c r="W10" s="42">
        <f t="shared" si="10"/>
        <v>6.75</v>
      </c>
      <c r="X10" s="47">
        <v>0</v>
      </c>
      <c r="Y10" s="42" t="str">
        <f t="shared" si="11"/>
        <v>0</v>
      </c>
      <c r="Z10" s="46">
        <v>2.5099999999999997E-2</v>
      </c>
      <c r="AA10" s="42">
        <f t="shared" si="12"/>
        <v>10.125</v>
      </c>
      <c r="AB10" s="47">
        <v>0</v>
      </c>
      <c r="AC10" s="42" t="str">
        <f t="shared" si="13"/>
        <v>0</v>
      </c>
      <c r="AD10" s="48">
        <v>0.99690000000000001</v>
      </c>
      <c r="AE10" s="40">
        <f t="shared" si="14"/>
        <v>1.125</v>
      </c>
      <c r="AF10" s="47">
        <v>0</v>
      </c>
      <c r="AG10" s="42" t="str">
        <f t="shared" si="15"/>
        <v>0</v>
      </c>
      <c r="AH10" s="46">
        <v>6.5099999999999991E-2</v>
      </c>
      <c r="AI10" s="40">
        <f t="shared" si="16"/>
        <v>6.75</v>
      </c>
      <c r="AJ10" s="39">
        <v>1</v>
      </c>
      <c r="AK10" s="39">
        <f t="shared" si="17"/>
        <v>1</v>
      </c>
      <c r="AL10" s="38">
        <f t="shared" si="18"/>
        <v>63.125</v>
      </c>
    </row>
    <row r="11" spans="1:38">
      <c r="A11" s="45" t="s">
        <v>238</v>
      </c>
      <c r="B11" s="43">
        <v>0.6</v>
      </c>
      <c r="C11" s="43">
        <f t="shared" si="0"/>
        <v>6.75</v>
      </c>
      <c r="D11" s="39">
        <v>0</v>
      </c>
      <c r="E11" s="39" t="str">
        <f t="shared" si="1"/>
        <v>0</v>
      </c>
      <c r="F11" s="43">
        <v>0.3</v>
      </c>
      <c r="G11" s="43">
        <f t="shared" si="2"/>
        <v>6.75</v>
      </c>
      <c r="H11" s="39">
        <v>0</v>
      </c>
      <c r="I11" s="39" t="str">
        <f t="shared" si="3"/>
        <v>0</v>
      </c>
      <c r="J11" s="46">
        <v>1.5600000000000001E-2</v>
      </c>
      <c r="K11" s="40">
        <f t="shared" si="4"/>
        <v>2.5</v>
      </c>
      <c r="L11" s="46">
        <v>-0.92600000000000005</v>
      </c>
      <c r="M11" s="42">
        <f t="shared" si="5"/>
        <v>1.25</v>
      </c>
      <c r="N11" s="43">
        <v>213.32</v>
      </c>
      <c r="O11" s="40">
        <f t="shared" si="6"/>
        <v>1.125</v>
      </c>
      <c r="P11" s="43">
        <v>0</v>
      </c>
      <c r="Q11" s="43" t="str">
        <f t="shared" si="7"/>
        <v>0</v>
      </c>
      <c r="R11" s="46">
        <v>8.2599999999999993E-2</v>
      </c>
      <c r="S11" s="42">
        <f t="shared" si="8"/>
        <v>6.75</v>
      </c>
      <c r="T11" s="47">
        <v>1</v>
      </c>
      <c r="U11" s="42">
        <f t="shared" si="9"/>
        <v>1</v>
      </c>
      <c r="V11" s="46">
        <v>3.61E-2</v>
      </c>
      <c r="W11" s="42">
        <f t="shared" si="10"/>
        <v>10.125</v>
      </c>
      <c r="X11" s="47">
        <v>0</v>
      </c>
      <c r="Y11" s="42" t="str">
        <f t="shared" si="11"/>
        <v>0</v>
      </c>
      <c r="Z11" s="46">
        <v>2.3E-3</v>
      </c>
      <c r="AA11" s="42">
        <f t="shared" si="12"/>
        <v>6.75</v>
      </c>
      <c r="AB11" s="47">
        <v>0</v>
      </c>
      <c r="AC11" s="42" t="str">
        <f t="shared" si="13"/>
        <v>0</v>
      </c>
      <c r="AD11" s="48">
        <v>1.0375000000000001</v>
      </c>
      <c r="AE11" s="40">
        <f t="shared" si="14"/>
        <v>3.375</v>
      </c>
      <c r="AF11" s="47">
        <v>0</v>
      </c>
      <c r="AG11" s="42" t="str">
        <f t="shared" si="15"/>
        <v>0</v>
      </c>
      <c r="AH11" s="46">
        <v>0.02</v>
      </c>
      <c r="AI11" s="40">
        <f t="shared" si="16"/>
        <v>2.25</v>
      </c>
      <c r="AJ11" s="39">
        <v>0</v>
      </c>
      <c r="AK11" s="39" t="str">
        <f t="shared" si="17"/>
        <v>0</v>
      </c>
      <c r="AL11" s="38">
        <f t="shared" si="18"/>
        <v>48.625</v>
      </c>
    </row>
    <row r="12" spans="1:38">
      <c r="A12" s="45" t="s">
        <v>237</v>
      </c>
      <c r="B12" s="43">
        <v>4.9000000000000004</v>
      </c>
      <c r="C12" s="43">
        <f t="shared" si="0"/>
        <v>10.125</v>
      </c>
      <c r="D12" s="39">
        <v>0</v>
      </c>
      <c r="E12" s="39" t="str">
        <f t="shared" si="1"/>
        <v>0</v>
      </c>
      <c r="F12" s="43">
        <v>7</v>
      </c>
      <c r="G12" s="43">
        <f t="shared" si="2"/>
        <v>10.125</v>
      </c>
      <c r="H12" s="39">
        <v>0</v>
      </c>
      <c r="I12" s="39" t="str">
        <f t="shared" si="3"/>
        <v>0</v>
      </c>
      <c r="J12" s="46">
        <v>7.3300000000000004E-2</v>
      </c>
      <c r="K12" s="40">
        <f t="shared" si="4"/>
        <v>5</v>
      </c>
      <c r="L12" s="46">
        <v>-0.66400000000000003</v>
      </c>
      <c r="M12" s="42">
        <f t="shared" si="5"/>
        <v>1.25</v>
      </c>
      <c r="N12" s="43">
        <v>121.2</v>
      </c>
      <c r="O12" s="40">
        <f t="shared" si="6"/>
        <v>1.125</v>
      </c>
      <c r="P12" s="43">
        <v>1</v>
      </c>
      <c r="Q12" s="43">
        <f t="shared" si="7"/>
        <v>0.5</v>
      </c>
      <c r="R12" s="46">
        <v>0.15229999999999999</v>
      </c>
      <c r="S12" s="42">
        <f t="shared" si="8"/>
        <v>9</v>
      </c>
      <c r="T12" s="47">
        <v>0</v>
      </c>
      <c r="U12" s="42" t="str">
        <f t="shared" si="9"/>
        <v>0</v>
      </c>
      <c r="V12" s="46">
        <v>9.06E-2</v>
      </c>
      <c r="W12" s="42">
        <f t="shared" si="10"/>
        <v>13.5</v>
      </c>
      <c r="X12" s="47">
        <v>0</v>
      </c>
      <c r="Y12" s="42" t="str">
        <f t="shared" si="11"/>
        <v>0</v>
      </c>
      <c r="Z12" s="46">
        <v>4.99E-2</v>
      </c>
      <c r="AA12" s="42">
        <f t="shared" si="12"/>
        <v>13.5</v>
      </c>
      <c r="AB12" s="47">
        <v>0</v>
      </c>
      <c r="AC12" s="42" t="str">
        <f t="shared" si="13"/>
        <v>0</v>
      </c>
      <c r="AD12" s="48">
        <v>1.0995999999999999</v>
      </c>
      <c r="AE12" s="40">
        <f t="shared" si="14"/>
        <v>4.5</v>
      </c>
      <c r="AF12" s="47">
        <v>0</v>
      </c>
      <c r="AG12" s="42" t="str">
        <f t="shared" si="15"/>
        <v>0</v>
      </c>
      <c r="AH12" s="46">
        <v>0.10009999999999999</v>
      </c>
      <c r="AI12" s="40">
        <f t="shared" si="16"/>
        <v>9</v>
      </c>
      <c r="AJ12" s="39">
        <v>0</v>
      </c>
      <c r="AK12" s="39" t="str">
        <f t="shared" si="17"/>
        <v>0</v>
      </c>
      <c r="AL12" s="38">
        <f t="shared" si="18"/>
        <v>77.625</v>
      </c>
    </row>
    <row r="13" spans="1:38">
      <c r="A13" s="45" t="s">
        <v>236</v>
      </c>
      <c r="B13" s="43">
        <v>1.4</v>
      </c>
      <c r="C13" s="43">
        <f t="shared" si="0"/>
        <v>10.125</v>
      </c>
      <c r="D13" s="39">
        <v>0</v>
      </c>
      <c r="E13" s="39" t="str">
        <f t="shared" si="1"/>
        <v>0</v>
      </c>
      <c r="F13" s="43">
        <v>1.7</v>
      </c>
      <c r="G13" s="43">
        <f t="shared" si="2"/>
        <v>6.75</v>
      </c>
      <c r="H13" s="39">
        <v>0</v>
      </c>
      <c r="I13" s="39" t="str">
        <f t="shared" si="3"/>
        <v>0</v>
      </c>
      <c r="J13" s="46">
        <v>-5.7000000000000002E-3</v>
      </c>
      <c r="K13" s="40">
        <f t="shared" si="4"/>
        <v>1.25</v>
      </c>
      <c r="L13" s="46">
        <v>-0.41599999999999998</v>
      </c>
      <c r="M13" s="42">
        <f t="shared" si="5"/>
        <v>2.5</v>
      </c>
      <c r="N13" s="43">
        <v>28.54</v>
      </c>
      <c r="O13" s="40">
        <f t="shared" si="6"/>
        <v>4.5</v>
      </c>
      <c r="P13" s="43">
        <v>1</v>
      </c>
      <c r="Q13" s="43">
        <f t="shared" si="7"/>
        <v>0.5</v>
      </c>
      <c r="R13" s="46">
        <v>3.2599999999999997E-2</v>
      </c>
      <c r="S13" s="42">
        <f t="shared" si="8"/>
        <v>4.5</v>
      </c>
      <c r="T13" s="47">
        <v>0</v>
      </c>
      <c r="U13" s="42" t="str">
        <f t="shared" si="9"/>
        <v>0</v>
      </c>
      <c r="V13" s="46">
        <v>0.01</v>
      </c>
      <c r="W13" s="42">
        <f t="shared" si="10"/>
        <v>6.75</v>
      </c>
      <c r="X13" s="47">
        <v>0</v>
      </c>
      <c r="Y13" s="42" t="str">
        <f t="shared" si="11"/>
        <v>0</v>
      </c>
      <c r="Z13" s="46">
        <v>4.1999999999999997E-3</v>
      </c>
      <c r="AA13" s="42">
        <f t="shared" si="12"/>
        <v>6.75</v>
      </c>
      <c r="AB13" s="47">
        <v>0</v>
      </c>
      <c r="AC13" s="42" t="str">
        <f t="shared" si="13"/>
        <v>0</v>
      </c>
      <c r="AD13" s="48">
        <v>1.0101</v>
      </c>
      <c r="AE13" s="40">
        <f t="shared" si="14"/>
        <v>1.125</v>
      </c>
      <c r="AF13" s="47">
        <v>0</v>
      </c>
      <c r="AG13" s="42" t="str">
        <f t="shared" si="15"/>
        <v>0</v>
      </c>
      <c r="AH13" s="46">
        <v>2.9399999999999999E-2</v>
      </c>
      <c r="AI13" s="40">
        <f t="shared" si="16"/>
        <v>2.25</v>
      </c>
      <c r="AJ13" s="39">
        <v>0</v>
      </c>
      <c r="AK13" s="39" t="str">
        <f t="shared" si="17"/>
        <v>0</v>
      </c>
      <c r="AL13" s="38">
        <f t="shared" si="18"/>
        <v>47</v>
      </c>
    </row>
    <row r="14" spans="1:38">
      <c r="A14" s="45" t="s">
        <v>235</v>
      </c>
      <c r="B14" s="43">
        <v>2</v>
      </c>
      <c r="C14" s="43">
        <f t="shared" si="0"/>
        <v>10.125</v>
      </c>
      <c r="D14" s="39">
        <v>0</v>
      </c>
      <c r="E14" s="39" t="str">
        <f t="shared" si="1"/>
        <v>0</v>
      </c>
      <c r="F14" s="43">
        <v>2.4</v>
      </c>
      <c r="G14" s="43">
        <f t="shared" si="2"/>
        <v>6.75</v>
      </c>
      <c r="H14" s="39">
        <v>0</v>
      </c>
      <c r="I14" s="39" t="str">
        <f t="shared" si="3"/>
        <v>0</v>
      </c>
      <c r="J14" s="46">
        <v>2.75E-2</v>
      </c>
      <c r="K14" s="40">
        <f t="shared" si="4"/>
        <v>3.75</v>
      </c>
      <c r="L14" s="46">
        <v>-0.879</v>
      </c>
      <c r="M14" s="42">
        <f t="shared" si="5"/>
        <v>1.25</v>
      </c>
      <c r="N14" s="43">
        <v>119.05</v>
      </c>
      <c r="O14" s="40">
        <f t="shared" si="6"/>
        <v>1.125</v>
      </c>
      <c r="P14" s="43">
        <v>0</v>
      </c>
      <c r="Q14" s="43" t="str">
        <f t="shared" si="7"/>
        <v>0</v>
      </c>
      <c r="R14" s="46">
        <v>0.10349999999999999</v>
      </c>
      <c r="S14" s="42">
        <f t="shared" si="8"/>
        <v>6.75</v>
      </c>
      <c r="T14" s="47">
        <v>0</v>
      </c>
      <c r="U14" s="42" t="str">
        <f t="shared" si="9"/>
        <v>0</v>
      </c>
      <c r="V14" s="46">
        <v>5.3400000000000003E-2</v>
      </c>
      <c r="W14" s="42">
        <f t="shared" si="10"/>
        <v>10.125</v>
      </c>
      <c r="X14" s="47">
        <v>0</v>
      </c>
      <c r="Y14" s="42" t="str">
        <f t="shared" si="11"/>
        <v>0</v>
      </c>
      <c r="Z14" s="46">
        <v>2.5999999999999999E-2</v>
      </c>
      <c r="AA14" s="42">
        <f t="shared" si="12"/>
        <v>10.125</v>
      </c>
      <c r="AB14" s="47">
        <v>0</v>
      </c>
      <c r="AC14" s="42" t="str">
        <f t="shared" si="13"/>
        <v>0</v>
      </c>
      <c r="AD14" s="48">
        <v>1.0571999999999999</v>
      </c>
      <c r="AE14" s="40">
        <f t="shared" si="14"/>
        <v>4.5</v>
      </c>
      <c r="AF14" s="47">
        <v>0</v>
      </c>
      <c r="AG14" s="42" t="str">
        <f t="shared" si="15"/>
        <v>0</v>
      </c>
      <c r="AH14" s="46">
        <v>3.32E-2</v>
      </c>
      <c r="AI14" s="40">
        <f t="shared" si="16"/>
        <v>4.5</v>
      </c>
      <c r="AJ14" s="39">
        <v>0</v>
      </c>
      <c r="AK14" s="39" t="str">
        <f t="shared" si="17"/>
        <v>0</v>
      </c>
      <c r="AL14" s="38">
        <f t="shared" si="18"/>
        <v>59</v>
      </c>
    </row>
    <row r="15" spans="1:38">
      <c r="A15" s="45" t="s">
        <v>234</v>
      </c>
      <c r="B15" s="43">
        <v>10.3</v>
      </c>
      <c r="C15" s="43">
        <f t="shared" si="0"/>
        <v>13.5</v>
      </c>
      <c r="D15" s="39">
        <v>1</v>
      </c>
      <c r="E15" s="39">
        <f t="shared" si="1"/>
        <v>1.5</v>
      </c>
      <c r="F15" s="43">
        <v>15.2</v>
      </c>
      <c r="G15" s="43">
        <f t="shared" si="2"/>
        <v>10.125</v>
      </c>
      <c r="H15" s="39">
        <v>1</v>
      </c>
      <c r="I15" s="39">
        <f t="shared" si="3"/>
        <v>1.5</v>
      </c>
      <c r="J15" s="46">
        <v>1.37E-2</v>
      </c>
      <c r="K15" s="40">
        <f t="shared" si="4"/>
        <v>2.5</v>
      </c>
      <c r="L15" s="46">
        <v>0.71099999999999997</v>
      </c>
      <c r="M15" s="42">
        <f t="shared" si="5"/>
        <v>5</v>
      </c>
      <c r="N15" s="43">
        <v>33.54</v>
      </c>
      <c r="O15" s="40">
        <f t="shared" si="6"/>
        <v>4.5</v>
      </c>
      <c r="P15" s="43">
        <v>0</v>
      </c>
      <c r="Q15" s="43" t="str">
        <f t="shared" si="7"/>
        <v>0</v>
      </c>
      <c r="R15" s="46">
        <v>6.3799999999999996E-2</v>
      </c>
      <c r="S15" s="42">
        <f t="shared" si="8"/>
        <v>6.75</v>
      </c>
      <c r="T15" s="47">
        <v>1</v>
      </c>
      <c r="U15" s="42">
        <f t="shared" si="9"/>
        <v>1</v>
      </c>
      <c r="V15" s="46">
        <v>4.5499999999999999E-2</v>
      </c>
      <c r="W15" s="42">
        <f t="shared" si="10"/>
        <v>10.125</v>
      </c>
      <c r="X15" s="47">
        <v>1</v>
      </c>
      <c r="Y15" s="42">
        <f t="shared" si="11"/>
        <v>1.5</v>
      </c>
      <c r="Z15" s="46">
        <v>4.8899999999999999E-2</v>
      </c>
      <c r="AA15" s="42">
        <f t="shared" si="12"/>
        <v>10.125</v>
      </c>
      <c r="AB15" s="47">
        <v>1</v>
      </c>
      <c r="AC15" s="42">
        <f t="shared" si="13"/>
        <v>1.5</v>
      </c>
      <c r="AD15" s="48">
        <v>1.0477000000000001</v>
      </c>
      <c r="AE15" s="40">
        <f t="shared" si="14"/>
        <v>3.375</v>
      </c>
      <c r="AF15" s="47">
        <v>1</v>
      </c>
      <c r="AG15" s="42">
        <f t="shared" si="15"/>
        <v>0.5</v>
      </c>
      <c r="AH15" s="46">
        <v>0.1424</v>
      </c>
      <c r="AI15" s="40">
        <f t="shared" si="16"/>
        <v>9</v>
      </c>
      <c r="AJ15" s="39">
        <v>1</v>
      </c>
      <c r="AK15" s="39">
        <f t="shared" si="17"/>
        <v>1</v>
      </c>
      <c r="AL15" s="38">
        <f t="shared" si="18"/>
        <v>83.5</v>
      </c>
    </row>
    <row r="16" spans="1:38">
      <c r="A16" s="45" t="s">
        <v>233</v>
      </c>
      <c r="B16" s="43">
        <v>0.4</v>
      </c>
      <c r="C16" s="43">
        <f t="shared" si="0"/>
        <v>6.75</v>
      </c>
      <c r="D16" s="39">
        <v>0</v>
      </c>
      <c r="E16" s="39" t="str">
        <f t="shared" si="1"/>
        <v>0</v>
      </c>
      <c r="F16" s="43">
        <v>0.1</v>
      </c>
      <c r="G16" s="43">
        <f t="shared" si="2"/>
        <v>6.75</v>
      </c>
      <c r="H16" s="39">
        <v>0</v>
      </c>
      <c r="I16" s="39" t="str">
        <f t="shared" si="3"/>
        <v>0</v>
      </c>
      <c r="J16" s="46">
        <v>-1.38E-2</v>
      </c>
      <c r="K16" s="40">
        <f t="shared" si="4"/>
        <v>1.25</v>
      </c>
      <c r="L16" s="46">
        <v>-0.9819</v>
      </c>
      <c r="M16" s="42">
        <f t="shared" si="5"/>
        <v>1.25</v>
      </c>
      <c r="N16" s="43">
        <v>72.599999999999994</v>
      </c>
      <c r="O16" s="40">
        <f t="shared" si="6"/>
        <v>2.25</v>
      </c>
      <c r="P16" s="43">
        <v>0</v>
      </c>
      <c r="Q16" s="43" t="str">
        <f t="shared" si="7"/>
        <v>0</v>
      </c>
      <c r="R16" s="46">
        <v>3.0600000000000002E-2</v>
      </c>
      <c r="S16" s="42">
        <f t="shared" si="8"/>
        <v>4.5</v>
      </c>
      <c r="T16" s="47">
        <v>0</v>
      </c>
      <c r="U16" s="42" t="str">
        <f t="shared" si="9"/>
        <v>0</v>
      </c>
      <c r="V16" s="46">
        <v>9.3999999999999997E-4</v>
      </c>
      <c r="W16" s="42">
        <f t="shared" si="10"/>
        <v>6.75</v>
      </c>
      <c r="X16" s="47">
        <v>0</v>
      </c>
      <c r="Y16" s="42" t="str">
        <f t="shared" si="11"/>
        <v>0</v>
      </c>
      <c r="Z16" s="46">
        <v>0.08</v>
      </c>
      <c r="AA16" s="42">
        <f t="shared" si="12"/>
        <v>13.5</v>
      </c>
      <c r="AB16" s="47">
        <v>0</v>
      </c>
      <c r="AC16" s="42" t="str">
        <f t="shared" si="13"/>
        <v>0</v>
      </c>
      <c r="AD16" s="48">
        <v>1.0095000000000001</v>
      </c>
      <c r="AE16" s="40">
        <f t="shared" si="14"/>
        <v>1.125</v>
      </c>
      <c r="AF16" s="47">
        <v>0</v>
      </c>
      <c r="AG16" s="42" t="str">
        <f t="shared" si="15"/>
        <v>0</v>
      </c>
      <c r="AH16" s="46">
        <v>6.3E-3</v>
      </c>
      <c r="AI16" s="40">
        <f t="shared" si="16"/>
        <v>2.25</v>
      </c>
      <c r="AJ16" s="39">
        <v>0</v>
      </c>
      <c r="AK16" s="39" t="str">
        <f t="shared" si="17"/>
        <v>0</v>
      </c>
      <c r="AL16" s="38">
        <f t="shared" si="18"/>
        <v>46.375</v>
      </c>
    </row>
    <row r="17" spans="1:38">
      <c r="A17" s="45" t="s">
        <v>232</v>
      </c>
      <c r="B17" s="43">
        <v>2.5</v>
      </c>
      <c r="C17" s="43">
        <f t="shared" si="0"/>
        <v>10.125</v>
      </c>
      <c r="D17" s="39">
        <v>0</v>
      </c>
      <c r="E17" s="39" t="str">
        <f t="shared" si="1"/>
        <v>0</v>
      </c>
      <c r="F17" s="43">
        <v>2.9</v>
      </c>
      <c r="G17" s="43">
        <f t="shared" si="2"/>
        <v>6.75</v>
      </c>
      <c r="H17" s="39">
        <v>0</v>
      </c>
      <c r="I17" s="39" t="str">
        <f t="shared" si="3"/>
        <v>0</v>
      </c>
      <c r="J17" s="46">
        <v>1.1399999999999999E-2</v>
      </c>
      <c r="K17" s="40">
        <f t="shared" si="4"/>
        <v>2.5</v>
      </c>
      <c r="L17" s="46">
        <v>-0.1008</v>
      </c>
      <c r="M17" s="42">
        <f t="shared" si="5"/>
        <v>3.75</v>
      </c>
      <c r="N17" s="43">
        <v>60.13</v>
      </c>
      <c r="O17" s="40">
        <f t="shared" si="6"/>
        <v>3.375</v>
      </c>
      <c r="P17" s="43">
        <v>0</v>
      </c>
      <c r="Q17" s="43" t="str">
        <f t="shared" si="7"/>
        <v>0</v>
      </c>
      <c r="R17" s="46">
        <v>5.8299999999999998E-2</v>
      </c>
      <c r="S17" s="42">
        <f t="shared" si="8"/>
        <v>6.75</v>
      </c>
      <c r="T17" s="47">
        <v>1</v>
      </c>
      <c r="U17" s="42">
        <f t="shared" si="9"/>
        <v>1</v>
      </c>
      <c r="V17" s="46">
        <v>3.6299999999999999E-2</v>
      </c>
      <c r="W17" s="42">
        <f t="shared" si="10"/>
        <v>10.125</v>
      </c>
      <c r="X17" s="47">
        <v>0</v>
      </c>
      <c r="Y17" s="42" t="str">
        <f t="shared" si="11"/>
        <v>0</v>
      </c>
      <c r="Z17" s="46">
        <v>2.9600000000000001E-2</v>
      </c>
      <c r="AA17" s="42">
        <f t="shared" si="12"/>
        <v>10.125</v>
      </c>
      <c r="AB17" s="47">
        <v>1</v>
      </c>
      <c r="AC17" s="42">
        <f t="shared" si="13"/>
        <v>1.5</v>
      </c>
      <c r="AD17" s="48">
        <v>1.0377000000000001</v>
      </c>
      <c r="AE17" s="40">
        <f t="shared" si="14"/>
        <v>3.375</v>
      </c>
      <c r="AF17" s="47">
        <v>0</v>
      </c>
      <c r="AG17" s="42" t="str">
        <f t="shared" si="15"/>
        <v>0</v>
      </c>
      <c r="AH17" s="46">
        <v>3.61E-2</v>
      </c>
      <c r="AI17" s="40">
        <f t="shared" si="16"/>
        <v>4.5</v>
      </c>
      <c r="AJ17" s="39">
        <v>0</v>
      </c>
      <c r="AK17" s="39" t="str">
        <f t="shared" si="17"/>
        <v>0</v>
      </c>
      <c r="AL17" s="38">
        <f t="shared" si="18"/>
        <v>63.875</v>
      </c>
    </row>
    <row r="18" spans="1:38">
      <c r="A18" s="45" t="s">
        <v>231</v>
      </c>
      <c r="B18" s="43">
        <v>4</v>
      </c>
      <c r="C18" s="43">
        <f t="shared" si="0"/>
        <v>10.125</v>
      </c>
      <c r="D18" s="39">
        <v>1</v>
      </c>
      <c r="E18" s="39">
        <f t="shared" si="1"/>
        <v>1.5</v>
      </c>
      <c r="F18" s="43">
        <v>6.5</v>
      </c>
      <c r="G18" s="43">
        <f t="shared" si="2"/>
        <v>10.125</v>
      </c>
      <c r="H18" s="39">
        <v>1</v>
      </c>
      <c r="I18" s="39">
        <f t="shared" si="3"/>
        <v>1.5</v>
      </c>
      <c r="J18" s="46">
        <v>7.5399999999999995E-2</v>
      </c>
      <c r="K18" s="40">
        <f t="shared" si="4"/>
        <v>5</v>
      </c>
      <c r="L18" s="46">
        <v>0.12390000000000001</v>
      </c>
      <c r="M18" s="42">
        <f t="shared" si="5"/>
        <v>3.75</v>
      </c>
      <c r="N18" s="43">
        <v>50.67</v>
      </c>
      <c r="O18" s="40">
        <f t="shared" si="6"/>
        <v>3.375</v>
      </c>
      <c r="P18" s="43">
        <v>1</v>
      </c>
      <c r="Q18" s="43">
        <f t="shared" si="7"/>
        <v>0.5</v>
      </c>
      <c r="R18" s="46">
        <v>4.3299999999999998E-2</v>
      </c>
      <c r="S18" s="42">
        <f t="shared" si="8"/>
        <v>4.5</v>
      </c>
      <c r="T18" s="47">
        <v>1</v>
      </c>
      <c r="U18" s="42">
        <f t="shared" si="9"/>
        <v>1</v>
      </c>
      <c r="V18" s="46">
        <v>1.2999999999999999E-2</v>
      </c>
      <c r="W18" s="42">
        <f t="shared" si="10"/>
        <v>6.75</v>
      </c>
      <c r="X18" s="47">
        <v>1</v>
      </c>
      <c r="Y18" s="42">
        <f t="shared" si="11"/>
        <v>1.5</v>
      </c>
      <c r="Z18" s="46">
        <v>0.01</v>
      </c>
      <c r="AA18" s="42">
        <f t="shared" si="12"/>
        <v>10.125</v>
      </c>
      <c r="AB18" s="47">
        <v>1</v>
      </c>
      <c r="AC18" s="42">
        <f t="shared" si="13"/>
        <v>1.5</v>
      </c>
      <c r="AD18" s="48">
        <v>1.0132000000000001</v>
      </c>
      <c r="AE18" s="40">
        <f t="shared" si="14"/>
        <v>2.25</v>
      </c>
      <c r="AF18" s="47">
        <v>1</v>
      </c>
      <c r="AG18" s="42">
        <f t="shared" si="15"/>
        <v>0.5</v>
      </c>
      <c r="AH18" s="46">
        <v>7.2599999999999998E-2</v>
      </c>
      <c r="AI18" s="40">
        <f t="shared" si="16"/>
        <v>9</v>
      </c>
      <c r="AJ18" s="39">
        <v>1</v>
      </c>
      <c r="AK18" s="39">
        <f t="shared" si="17"/>
        <v>1</v>
      </c>
      <c r="AL18" s="38">
        <f t="shared" si="18"/>
        <v>74</v>
      </c>
    </row>
    <row r="19" spans="1:38">
      <c r="A19" s="45" t="s">
        <v>230</v>
      </c>
      <c r="B19" s="43">
        <v>2.7</v>
      </c>
      <c r="C19" s="43">
        <f t="shared" si="0"/>
        <v>10.125</v>
      </c>
      <c r="D19" s="39">
        <v>0</v>
      </c>
      <c r="E19" s="39" t="str">
        <f t="shared" si="1"/>
        <v>0</v>
      </c>
      <c r="F19" s="43">
        <v>0.3</v>
      </c>
      <c r="G19" s="43">
        <f t="shared" si="2"/>
        <v>6.75</v>
      </c>
      <c r="H19" s="39">
        <v>0</v>
      </c>
      <c r="I19" s="39" t="str">
        <f t="shared" si="3"/>
        <v>0</v>
      </c>
      <c r="J19" s="46">
        <v>5.1699999999999996E-2</v>
      </c>
      <c r="K19" s="40">
        <f t="shared" si="4"/>
        <v>3.75</v>
      </c>
      <c r="L19" s="46">
        <v>-0.49530000000000002</v>
      </c>
      <c r="M19" s="42">
        <f t="shared" si="5"/>
        <v>2.5</v>
      </c>
      <c r="N19" s="43">
        <v>47.32</v>
      </c>
      <c r="O19" s="40">
        <f t="shared" si="6"/>
        <v>3.375</v>
      </c>
      <c r="P19" s="43">
        <v>0</v>
      </c>
      <c r="Q19" s="43" t="str">
        <f t="shared" si="7"/>
        <v>0</v>
      </c>
      <c r="R19" s="46">
        <v>5.5099999999999996E-2</v>
      </c>
      <c r="S19" s="42">
        <f t="shared" si="8"/>
        <v>6.75</v>
      </c>
      <c r="T19" s="47">
        <v>0</v>
      </c>
      <c r="U19" s="42" t="str">
        <f t="shared" si="9"/>
        <v>0</v>
      </c>
      <c r="V19" s="46">
        <v>3.1300000000000001E-2</v>
      </c>
      <c r="W19" s="42">
        <f t="shared" si="10"/>
        <v>10.125</v>
      </c>
      <c r="X19" s="47">
        <v>0</v>
      </c>
      <c r="Y19" s="42" t="str">
        <f t="shared" si="11"/>
        <v>0</v>
      </c>
      <c r="Z19" s="46">
        <v>8.0000000000000004E-4</v>
      </c>
      <c r="AA19" s="42">
        <f t="shared" si="12"/>
        <v>6.75</v>
      </c>
      <c r="AB19" s="47">
        <v>0</v>
      </c>
      <c r="AC19" s="42" t="str">
        <f t="shared" si="13"/>
        <v>0</v>
      </c>
      <c r="AD19" s="48">
        <v>1.0323</v>
      </c>
      <c r="AE19" s="40">
        <f t="shared" si="14"/>
        <v>2.25</v>
      </c>
      <c r="AF19" s="47">
        <v>0</v>
      </c>
      <c r="AG19" s="42" t="str">
        <f t="shared" si="15"/>
        <v>0</v>
      </c>
      <c r="AH19" s="46">
        <v>8.14E-2</v>
      </c>
      <c r="AI19" s="40">
        <f t="shared" si="16"/>
        <v>9</v>
      </c>
      <c r="AJ19" s="39">
        <v>0</v>
      </c>
      <c r="AK19" s="39" t="str">
        <f t="shared" si="17"/>
        <v>0</v>
      </c>
      <c r="AL19" s="38">
        <f t="shared" si="18"/>
        <v>61.375</v>
      </c>
    </row>
    <row r="20" spans="1:38">
      <c r="A20" s="45" t="s">
        <v>229</v>
      </c>
      <c r="B20" s="43">
        <v>2.9</v>
      </c>
      <c r="C20" s="43">
        <f t="shared" si="0"/>
        <v>10.125</v>
      </c>
      <c r="D20" s="39">
        <v>1</v>
      </c>
      <c r="E20" s="39">
        <f t="shared" si="1"/>
        <v>1.5</v>
      </c>
      <c r="F20" s="43">
        <v>4.8</v>
      </c>
      <c r="G20" s="43">
        <f t="shared" si="2"/>
        <v>6.75</v>
      </c>
      <c r="H20" s="39">
        <v>1</v>
      </c>
      <c r="I20" s="39">
        <f t="shared" si="3"/>
        <v>1.5</v>
      </c>
      <c r="J20" s="46">
        <v>6.9599999999999995E-2</v>
      </c>
      <c r="K20" s="40">
        <f t="shared" si="4"/>
        <v>5</v>
      </c>
      <c r="L20" s="46">
        <v>7.0099999999999996E-2</v>
      </c>
      <c r="M20" s="42">
        <f t="shared" si="5"/>
        <v>3.75</v>
      </c>
      <c r="N20" s="43">
        <v>27.78</v>
      </c>
      <c r="O20" s="40">
        <f t="shared" si="6"/>
        <v>4.5</v>
      </c>
      <c r="P20" s="43">
        <v>0</v>
      </c>
      <c r="Q20" s="43" t="str">
        <f t="shared" si="7"/>
        <v>0</v>
      </c>
      <c r="R20" s="46">
        <v>5.28E-2</v>
      </c>
      <c r="S20" s="42">
        <f t="shared" si="8"/>
        <v>4.5</v>
      </c>
      <c r="T20" s="47">
        <v>0</v>
      </c>
      <c r="U20" s="42" t="str">
        <f t="shared" si="9"/>
        <v>0</v>
      </c>
      <c r="V20" s="46">
        <v>2.46E-2</v>
      </c>
      <c r="W20" s="42">
        <f t="shared" si="10"/>
        <v>10.125</v>
      </c>
      <c r="X20" s="47">
        <v>1</v>
      </c>
      <c r="Y20" s="42">
        <f t="shared" si="11"/>
        <v>1.5</v>
      </c>
      <c r="Z20" s="46">
        <v>1.7100000000000001E-2</v>
      </c>
      <c r="AA20" s="42">
        <f t="shared" si="12"/>
        <v>10.125</v>
      </c>
      <c r="AB20" s="47">
        <v>1</v>
      </c>
      <c r="AC20" s="42">
        <f t="shared" si="13"/>
        <v>1.5</v>
      </c>
      <c r="AD20" s="48">
        <v>1.0251999999999999</v>
      </c>
      <c r="AE20" s="40">
        <f t="shared" si="14"/>
        <v>2.25</v>
      </c>
      <c r="AF20" s="47">
        <v>1</v>
      </c>
      <c r="AG20" s="42">
        <f t="shared" si="15"/>
        <v>0.5</v>
      </c>
      <c r="AH20" s="46">
        <v>5.0999999999999997E-2</v>
      </c>
      <c r="AI20" s="40">
        <f t="shared" si="16"/>
        <v>4.5</v>
      </c>
      <c r="AJ20" s="39">
        <v>1</v>
      </c>
      <c r="AK20" s="39">
        <f t="shared" si="17"/>
        <v>1</v>
      </c>
      <c r="AL20" s="38">
        <f t="shared" si="18"/>
        <v>69.125</v>
      </c>
    </row>
    <row r="21" spans="1:38">
      <c r="A21" s="45" t="s">
        <v>278</v>
      </c>
      <c r="B21" s="43">
        <v>2.7</v>
      </c>
      <c r="C21" s="43">
        <f t="shared" si="0"/>
        <v>10.125</v>
      </c>
      <c r="D21" s="39">
        <v>1</v>
      </c>
      <c r="E21" s="39">
        <f t="shared" si="1"/>
        <v>1.5</v>
      </c>
      <c r="F21" s="43">
        <v>4.5</v>
      </c>
      <c r="G21" s="43">
        <f t="shared" si="2"/>
        <v>6.75</v>
      </c>
      <c r="H21" s="39">
        <v>1</v>
      </c>
      <c r="I21" s="39">
        <f t="shared" si="3"/>
        <v>1.5</v>
      </c>
      <c r="J21" s="46">
        <v>0.24960000000000002</v>
      </c>
      <c r="K21" s="40">
        <f t="shared" si="4"/>
        <v>5</v>
      </c>
      <c r="L21" s="46">
        <v>1.7006000000000001</v>
      </c>
      <c r="M21" s="42">
        <f t="shared" si="5"/>
        <v>5</v>
      </c>
      <c r="N21" s="43">
        <v>17.03</v>
      </c>
      <c r="O21" s="40">
        <f t="shared" si="6"/>
        <v>4.5</v>
      </c>
      <c r="P21" s="43">
        <v>0</v>
      </c>
      <c r="Q21" s="43" t="str">
        <f t="shared" si="7"/>
        <v>0</v>
      </c>
      <c r="R21" s="46">
        <v>3.3300000000000003E-2</v>
      </c>
      <c r="S21" s="42">
        <f t="shared" si="8"/>
        <v>4.5</v>
      </c>
      <c r="T21" s="47">
        <v>1</v>
      </c>
      <c r="U21" s="42">
        <f t="shared" si="9"/>
        <v>1</v>
      </c>
      <c r="V21" s="46">
        <v>7.1999999999999998E-3</v>
      </c>
      <c r="W21" s="42">
        <f t="shared" si="10"/>
        <v>6.75</v>
      </c>
      <c r="X21" s="47">
        <v>1</v>
      </c>
      <c r="Y21" s="42">
        <f t="shared" si="11"/>
        <v>1.5</v>
      </c>
      <c r="Z21" s="46">
        <v>6.3E-3</v>
      </c>
      <c r="AA21" s="42">
        <f t="shared" si="12"/>
        <v>6.75</v>
      </c>
      <c r="AB21" s="47">
        <v>1</v>
      </c>
      <c r="AC21" s="42">
        <f t="shared" si="13"/>
        <v>1.5</v>
      </c>
      <c r="AD21" s="48">
        <v>1.0073000000000001</v>
      </c>
      <c r="AE21" s="40">
        <f t="shared" si="14"/>
        <v>1.125</v>
      </c>
      <c r="AF21" s="47">
        <v>1</v>
      </c>
      <c r="AG21" s="42">
        <f t="shared" si="15"/>
        <v>0.5</v>
      </c>
      <c r="AH21" s="46">
        <v>5.9400000000000001E-2</v>
      </c>
      <c r="AI21" s="40">
        <f t="shared" si="16"/>
        <v>6.75</v>
      </c>
      <c r="AJ21" s="39">
        <v>1</v>
      </c>
      <c r="AK21" s="39">
        <f t="shared" si="17"/>
        <v>1</v>
      </c>
      <c r="AL21" s="38">
        <f t="shared" si="18"/>
        <v>65.75</v>
      </c>
    </row>
    <row r="22" spans="1:38">
      <c r="A22" s="45" t="s">
        <v>227</v>
      </c>
      <c r="B22" s="43">
        <v>-9.3000000000000007</v>
      </c>
      <c r="C22" s="43">
        <f t="shared" si="0"/>
        <v>3.375</v>
      </c>
      <c r="D22" s="39">
        <v>0</v>
      </c>
      <c r="E22" s="39" t="str">
        <f t="shared" si="1"/>
        <v>0</v>
      </c>
      <c r="F22" s="43">
        <v>-54.6</v>
      </c>
      <c r="G22" s="43">
        <f t="shared" si="2"/>
        <v>3.375</v>
      </c>
      <c r="H22" s="39">
        <v>0</v>
      </c>
      <c r="I22" s="39" t="str">
        <f t="shared" si="3"/>
        <v>0</v>
      </c>
      <c r="J22" s="46">
        <v>4.2699999999999995E-2</v>
      </c>
      <c r="K22" s="40">
        <f t="shared" si="4"/>
        <v>3.75</v>
      </c>
      <c r="L22" s="46">
        <v>-29.87</v>
      </c>
      <c r="M22" s="42">
        <f t="shared" si="5"/>
        <v>1.25</v>
      </c>
      <c r="N22" s="43">
        <v>74.84</v>
      </c>
      <c r="O22" s="40">
        <f t="shared" si="6"/>
        <v>2.25</v>
      </c>
      <c r="P22" s="43">
        <v>1</v>
      </c>
      <c r="Q22" s="43">
        <f t="shared" si="7"/>
        <v>0.5</v>
      </c>
      <c r="R22" s="46">
        <v>-2.2000000000000002E-2</v>
      </c>
      <c r="S22" s="42">
        <f t="shared" si="8"/>
        <v>4.5</v>
      </c>
      <c r="T22" s="47">
        <v>0</v>
      </c>
      <c r="U22" s="42" t="str">
        <f t="shared" si="9"/>
        <v>0</v>
      </c>
      <c r="V22" s="46">
        <v>-3.7100000000000001E-2</v>
      </c>
      <c r="W22" s="42">
        <f t="shared" si="10"/>
        <v>6.75</v>
      </c>
      <c r="X22" s="47">
        <v>0</v>
      </c>
      <c r="Y22" s="42" t="str">
        <f t="shared" si="11"/>
        <v>0</v>
      </c>
      <c r="Z22" s="46">
        <v>-5.2699999999999997E-2</v>
      </c>
      <c r="AA22" s="42">
        <f t="shared" si="12"/>
        <v>6.75</v>
      </c>
      <c r="AB22" s="47">
        <v>0</v>
      </c>
      <c r="AC22" s="42" t="str">
        <f t="shared" si="13"/>
        <v>0</v>
      </c>
      <c r="AD22" s="48">
        <v>0.96419999999999995</v>
      </c>
      <c r="AE22" s="40">
        <f t="shared" si="14"/>
        <v>1.125</v>
      </c>
      <c r="AF22" s="47">
        <v>0</v>
      </c>
      <c r="AG22" s="42" t="str">
        <f t="shared" si="15"/>
        <v>0</v>
      </c>
      <c r="AH22" s="46">
        <v>-0.25319999999999998</v>
      </c>
      <c r="AI22" s="40">
        <f t="shared" si="16"/>
        <v>2.25</v>
      </c>
      <c r="AJ22" s="39">
        <v>0</v>
      </c>
      <c r="AK22" s="39" t="str">
        <f t="shared" si="17"/>
        <v>0</v>
      </c>
      <c r="AL22" s="38">
        <f t="shared" si="18"/>
        <v>35.875</v>
      </c>
    </row>
    <row r="23" spans="1:38">
      <c r="A23" s="45" t="s">
        <v>277</v>
      </c>
      <c r="B23" s="43">
        <v>4.5</v>
      </c>
      <c r="C23" s="43">
        <f t="shared" si="0"/>
        <v>10.125</v>
      </c>
      <c r="D23" s="39">
        <v>1</v>
      </c>
      <c r="E23" s="39">
        <f t="shared" si="1"/>
        <v>1.5</v>
      </c>
      <c r="F23" s="43">
        <v>6.1</v>
      </c>
      <c r="G23" s="43">
        <f t="shared" si="2"/>
        <v>10.125</v>
      </c>
      <c r="H23" s="39">
        <v>1</v>
      </c>
      <c r="I23" s="39">
        <f t="shared" si="3"/>
        <v>1.5</v>
      </c>
      <c r="J23" s="46">
        <v>6.1200000000000004E-2</v>
      </c>
      <c r="K23" s="40">
        <f t="shared" si="4"/>
        <v>3.75</v>
      </c>
      <c r="L23" s="46">
        <v>1.0642</v>
      </c>
      <c r="M23" s="42">
        <f t="shared" si="5"/>
        <v>5</v>
      </c>
      <c r="N23" s="43">
        <v>62.41</v>
      </c>
      <c r="O23" s="40">
        <f t="shared" si="6"/>
        <v>3.375</v>
      </c>
      <c r="P23" s="43">
        <v>0</v>
      </c>
      <c r="Q23" s="43" t="str">
        <f t="shared" si="7"/>
        <v>0</v>
      </c>
      <c r="R23" s="46">
        <v>0.12960000000000002</v>
      </c>
      <c r="S23" s="42">
        <f t="shared" si="8"/>
        <v>6.75</v>
      </c>
      <c r="T23" s="47">
        <v>1</v>
      </c>
      <c r="U23" s="42">
        <f t="shared" si="9"/>
        <v>1</v>
      </c>
      <c r="V23" s="46">
        <v>8.48E-2</v>
      </c>
      <c r="W23" s="42">
        <f t="shared" si="10"/>
        <v>13.5</v>
      </c>
      <c r="X23" s="47">
        <v>1</v>
      </c>
      <c r="Y23" s="42">
        <f t="shared" si="11"/>
        <v>1.5</v>
      </c>
      <c r="Z23" s="46">
        <v>5.3600000000000002E-2</v>
      </c>
      <c r="AA23" s="42">
        <f t="shared" si="12"/>
        <v>13.5</v>
      </c>
      <c r="AB23" s="47">
        <v>1</v>
      </c>
      <c r="AC23" s="42">
        <f t="shared" si="13"/>
        <v>1.5</v>
      </c>
      <c r="AD23" s="48">
        <v>1.0927</v>
      </c>
      <c r="AE23" s="40">
        <f t="shared" si="14"/>
        <v>4.5</v>
      </c>
      <c r="AF23" s="47">
        <v>1</v>
      </c>
      <c r="AG23" s="42">
        <f t="shared" si="15"/>
        <v>0.5</v>
      </c>
      <c r="AH23" s="46">
        <v>6.0400000000000002E-2</v>
      </c>
      <c r="AI23" s="40">
        <f t="shared" si="16"/>
        <v>6.75</v>
      </c>
      <c r="AJ23" s="39">
        <v>1</v>
      </c>
      <c r="AK23" s="39">
        <f t="shared" si="17"/>
        <v>1</v>
      </c>
      <c r="AL23" s="38">
        <f t="shared" si="18"/>
        <v>85.875</v>
      </c>
    </row>
    <row r="26" spans="1:38" ht="18.75">
      <c r="A26" s="17" t="s">
        <v>60</v>
      </c>
      <c r="B26" s="17" t="s">
        <v>59</v>
      </c>
      <c r="C26" s="17"/>
      <c r="D26" s="17"/>
      <c r="E26" s="17"/>
      <c r="F26" s="17" t="s">
        <v>58</v>
      </c>
      <c r="G26" s="17"/>
      <c r="H26" s="16"/>
      <c r="I26" s="16"/>
      <c r="J26" s="16"/>
      <c r="K26" s="16"/>
      <c r="L26" s="16" t="s">
        <v>57</v>
      </c>
      <c r="M26" s="16"/>
      <c r="R26" t="s">
        <v>60</v>
      </c>
      <c r="S26" t="s">
        <v>276</v>
      </c>
      <c r="T26" t="s">
        <v>275</v>
      </c>
    </row>
    <row r="27" spans="1:38" ht="17.25">
      <c r="A27" s="11" t="s">
        <v>56</v>
      </c>
      <c r="B27" s="9">
        <f>L27-F27</f>
        <v>13.5</v>
      </c>
      <c r="C27" s="9"/>
      <c r="D27" s="10"/>
      <c r="E27" s="10"/>
      <c r="F27" s="9">
        <f>L27*0.1</f>
        <v>1.5</v>
      </c>
      <c r="G27" s="9"/>
      <c r="H27" s="8"/>
      <c r="I27" s="8"/>
      <c r="J27" s="8"/>
      <c r="K27" s="8"/>
      <c r="L27" s="9">
        <v>15</v>
      </c>
      <c r="M27" s="9"/>
      <c r="R27" t="s">
        <v>56</v>
      </c>
    </row>
    <row r="28" spans="1:38">
      <c r="A28" t="s">
        <v>225</v>
      </c>
      <c r="B28" s="10">
        <f>B27*0.25</f>
        <v>3.375</v>
      </c>
      <c r="C28" s="3"/>
      <c r="D28" s="3"/>
      <c r="E28" s="3"/>
      <c r="F28" s="3" t="s">
        <v>7</v>
      </c>
      <c r="G28" s="3"/>
      <c r="H28">
        <v>1.5</v>
      </c>
      <c r="R28" t="s">
        <v>51</v>
      </c>
    </row>
    <row r="29" spans="1:38">
      <c r="A29" t="s">
        <v>224</v>
      </c>
      <c r="B29" s="3">
        <f>B27*0.5</f>
        <v>6.75</v>
      </c>
      <c r="C29" s="3"/>
      <c r="D29" s="3"/>
      <c r="E29" s="3"/>
      <c r="F29" s="3" t="s">
        <v>4</v>
      </c>
      <c r="G29" s="3"/>
      <c r="H29">
        <v>0</v>
      </c>
      <c r="R29" t="s">
        <v>274</v>
      </c>
    </row>
    <row r="30" spans="1:38">
      <c r="A30" t="s">
        <v>223</v>
      </c>
      <c r="B30" s="3">
        <f>B27*0.75</f>
        <v>10.125</v>
      </c>
      <c r="C30" s="3"/>
      <c r="D30" s="3"/>
      <c r="E30" s="3"/>
      <c r="F30" s="3"/>
      <c r="G30" s="3"/>
      <c r="R30" t="s">
        <v>273</v>
      </c>
    </row>
    <row r="31" spans="1:38">
      <c r="A31" t="s">
        <v>222</v>
      </c>
      <c r="B31" s="3">
        <f>B27*1</f>
        <v>13.5</v>
      </c>
      <c r="C31" s="3"/>
      <c r="D31" s="3"/>
      <c r="E31" s="3"/>
      <c r="F31" s="3"/>
      <c r="G31" s="3"/>
      <c r="R31" t="s">
        <v>272</v>
      </c>
    </row>
    <row r="32" spans="1:38">
      <c r="B32" s="3"/>
      <c r="C32" s="3"/>
      <c r="D32" s="3"/>
      <c r="E32" s="3"/>
      <c r="F32" s="3"/>
      <c r="G32" s="3"/>
      <c r="R32" t="s">
        <v>271</v>
      </c>
    </row>
    <row r="33" spans="1:18" ht="17.25">
      <c r="A33" s="11" t="s">
        <v>51</v>
      </c>
      <c r="B33" s="9">
        <f>L34-F34</f>
        <v>13.5</v>
      </c>
      <c r="C33" s="3"/>
      <c r="D33" s="3"/>
      <c r="E33" s="3"/>
      <c r="F33" s="3"/>
      <c r="G33" s="3"/>
      <c r="R33" t="s">
        <v>270</v>
      </c>
    </row>
    <row r="34" spans="1:18">
      <c r="A34" t="s">
        <v>50</v>
      </c>
      <c r="B34" s="10">
        <f>B33*0.25</f>
        <v>3.375</v>
      </c>
      <c r="C34" s="9"/>
      <c r="D34" s="10"/>
      <c r="E34" s="10"/>
      <c r="F34" s="9">
        <f>L34*0.1</f>
        <v>1.5</v>
      </c>
      <c r="G34" s="9"/>
      <c r="H34" s="8"/>
      <c r="I34" s="8"/>
      <c r="J34" s="8"/>
      <c r="K34" s="8"/>
      <c r="L34" s="9">
        <v>15</v>
      </c>
      <c r="M34" s="9"/>
      <c r="R34" t="s">
        <v>269</v>
      </c>
    </row>
    <row r="35" spans="1:18">
      <c r="A35" t="s">
        <v>221</v>
      </c>
      <c r="B35" s="3">
        <f>B33*0.5</f>
        <v>6.75</v>
      </c>
      <c r="C35" s="3"/>
      <c r="D35" s="3"/>
      <c r="E35" s="3"/>
      <c r="F35" s="3" t="s">
        <v>7</v>
      </c>
      <c r="G35" s="3"/>
      <c r="H35">
        <v>1.5</v>
      </c>
      <c r="R35" t="s">
        <v>268</v>
      </c>
    </row>
    <row r="36" spans="1:18">
      <c r="A36" t="s">
        <v>220</v>
      </c>
      <c r="B36" s="3">
        <f>B33*0.75</f>
        <v>10.125</v>
      </c>
      <c r="C36" s="3"/>
      <c r="D36" s="3"/>
      <c r="E36" s="3"/>
      <c r="F36" s="3" t="s">
        <v>4</v>
      </c>
      <c r="G36" s="3"/>
      <c r="H36">
        <v>0</v>
      </c>
      <c r="R36" t="s">
        <v>11</v>
      </c>
    </row>
    <row r="37" spans="1:18">
      <c r="A37" t="s">
        <v>219</v>
      </c>
      <c r="B37" s="3">
        <f>B33*1</f>
        <v>13.5</v>
      </c>
      <c r="C37" s="3"/>
      <c r="D37" s="3"/>
      <c r="E37" s="3"/>
      <c r="F37" s="3"/>
      <c r="G37" s="3"/>
    </row>
    <row r="38" spans="1:18">
      <c r="B38" s="3"/>
      <c r="C38" s="3"/>
      <c r="D38" s="3"/>
      <c r="E38" s="3"/>
      <c r="F38" s="3"/>
      <c r="G38" s="3"/>
    </row>
    <row r="39" spans="1:18">
      <c r="B39" s="3"/>
      <c r="C39" s="3"/>
      <c r="D39" s="3"/>
      <c r="E39" s="3"/>
      <c r="F39" s="3"/>
      <c r="G39" s="3"/>
    </row>
    <row r="40" spans="1:18" ht="17.25">
      <c r="A40" s="11" t="s">
        <v>46</v>
      </c>
      <c r="B40" s="9">
        <v>5</v>
      </c>
      <c r="C40" s="5"/>
      <c r="D40" s="3"/>
      <c r="E40" s="3"/>
      <c r="F40" s="3"/>
      <c r="G40" s="3"/>
      <c r="L40" s="2">
        <v>5</v>
      </c>
      <c r="M40" s="2"/>
    </row>
    <row r="41" spans="1:18">
      <c r="A41" t="s">
        <v>267</v>
      </c>
      <c r="B41" s="10">
        <f>B40*0.25</f>
        <v>1.25</v>
      </c>
      <c r="C41" s="3"/>
      <c r="D41" s="36">
        <f>QUARTILE(J4:J23,1)</f>
        <v>-1.0499999999999997E-3</v>
      </c>
      <c r="E41" s="3" t="s">
        <v>8</v>
      </c>
      <c r="F41" s="3"/>
      <c r="G41" s="3"/>
    </row>
    <row r="42" spans="1:18">
      <c r="A42" t="s">
        <v>266</v>
      </c>
      <c r="B42" s="3">
        <f>B40*0.5</f>
        <v>2.5</v>
      </c>
      <c r="C42" s="3"/>
      <c r="D42" s="36">
        <f>QUARTILE(J4:J23,2)</f>
        <v>2.155E-2</v>
      </c>
      <c r="E42" s="3" t="s">
        <v>5</v>
      </c>
      <c r="F42" s="3"/>
      <c r="G42" s="3"/>
    </row>
    <row r="43" spans="1:18">
      <c r="A43" t="s">
        <v>265</v>
      </c>
      <c r="B43" s="3">
        <f>B40*0.75</f>
        <v>3.75</v>
      </c>
      <c r="C43" s="3"/>
      <c r="D43" s="36">
        <f>QUARTILE(J4:J23,3)</f>
        <v>6.2725000000000003E-2</v>
      </c>
      <c r="E43" s="3" t="s">
        <v>2</v>
      </c>
      <c r="F43" s="3"/>
      <c r="G43" s="3"/>
    </row>
    <row r="44" spans="1:18">
      <c r="A44" t="s">
        <v>264</v>
      </c>
      <c r="B44" s="3">
        <f>B40*1</f>
        <v>5</v>
      </c>
      <c r="C44" s="3"/>
      <c r="D44" s="3"/>
      <c r="E44" s="3"/>
      <c r="F44" s="3"/>
      <c r="G44" s="3"/>
    </row>
    <row r="45" spans="1:18">
      <c r="B45" s="3"/>
      <c r="C45" s="3"/>
      <c r="D45" s="3"/>
      <c r="E45" s="3"/>
      <c r="F45" s="3"/>
      <c r="G45" s="3"/>
    </row>
    <row r="46" spans="1:18" ht="17.25">
      <c r="A46" s="11" t="s">
        <v>41</v>
      </c>
      <c r="B46" s="9">
        <v>5</v>
      </c>
      <c r="C46" s="5"/>
      <c r="D46" s="3"/>
      <c r="E46" s="3"/>
      <c r="F46" s="3"/>
      <c r="G46" s="3"/>
      <c r="L46" s="2">
        <v>5</v>
      </c>
      <c r="M46" s="2"/>
    </row>
    <row r="47" spans="1:18">
      <c r="A47" t="s">
        <v>263</v>
      </c>
      <c r="B47" s="10">
        <f>B46*0.25</f>
        <v>1.25</v>
      </c>
      <c r="C47" s="3"/>
      <c r="D47" s="36">
        <f>QUARTILE(L4:L23,1)</f>
        <v>-0.64149999999999996</v>
      </c>
      <c r="E47" s="3" t="s">
        <v>8</v>
      </c>
      <c r="F47" s="3"/>
      <c r="G47" s="3"/>
    </row>
    <row r="48" spans="1:18">
      <c r="A48" t="s">
        <v>262</v>
      </c>
      <c r="B48" s="3">
        <f>B46*0.5</f>
        <v>2.5</v>
      </c>
      <c r="C48" s="3"/>
      <c r="D48" s="36">
        <f>QUARTILE(L4:L23,2)</f>
        <v>-0.32899999999999996</v>
      </c>
      <c r="E48" s="3" t="s">
        <v>5</v>
      </c>
      <c r="F48" s="3"/>
      <c r="G48" s="3"/>
    </row>
    <row r="49" spans="1:13">
      <c r="A49" t="s">
        <v>261</v>
      </c>
      <c r="B49" s="3">
        <f>B46*0.75</f>
        <v>3.75</v>
      </c>
      <c r="C49" s="3"/>
      <c r="D49" s="36">
        <f>QUARTILE(L4:L23,3)</f>
        <v>0.270675</v>
      </c>
      <c r="E49" s="3" t="s">
        <v>2</v>
      </c>
      <c r="F49" s="3"/>
      <c r="G49" s="3"/>
    </row>
    <row r="50" spans="1:13">
      <c r="A50" t="s">
        <v>260</v>
      </c>
      <c r="B50" s="3">
        <f>B46*1</f>
        <v>5</v>
      </c>
      <c r="C50" s="3"/>
      <c r="D50" s="3"/>
      <c r="E50" s="3"/>
      <c r="F50" s="3"/>
      <c r="G50" s="3"/>
    </row>
    <row r="51" spans="1:13">
      <c r="B51" s="3"/>
      <c r="C51" s="3"/>
      <c r="D51" s="3"/>
      <c r="E51" s="3"/>
      <c r="F51" s="3"/>
      <c r="G51" s="3"/>
    </row>
    <row r="52" spans="1:13" ht="34.5">
      <c r="A52" s="6" t="s">
        <v>36</v>
      </c>
      <c r="B52" s="9">
        <f>L52-F52</f>
        <v>4.5</v>
      </c>
      <c r="C52" s="5"/>
      <c r="D52" s="5"/>
      <c r="E52" s="5"/>
      <c r="F52" s="5">
        <f>L52*0.1</f>
        <v>0.5</v>
      </c>
      <c r="G52" s="5"/>
      <c r="H52" s="7"/>
      <c r="I52" s="7"/>
      <c r="J52" s="7"/>
      <c r="K52" s="7"/>
      <c r="L52" s="5">
        <v>5</v>
      </c>
      <c r="M52" s="5"/>
    </row>
    <row r="53" spans="1:13">
      <c r="A53" t="s">
        <v>259</v>
      </c>
      <c r="B53" s="10">
        <f>B52*1</f>
        <v>4.5</v>
      </c>
      <c r="C53" s="3"/>
      <c r="D53" s="10">
        <f>QUARTILE(N4:N23,1)</f>
        <v>43.875</v>
      </c>
      <c r="E53" s="3" t="s">
        <v>8</v>
      </c>
      <c r="F53" s="3" t="s">
        <v>7</v>
      </c>
      <c r="G53" s="3"/>
      <c r="H53">
        <v>0.5</v>
      </c>
    </row>
    <row r="54" spans="1:13">
      <c r="A54" t="s">
        <v>258</v>
      </c>
      <c r="B54" s="3">
        <f>B52*0.75</f>
        <v>3.375</v>
      </c>
      <c r="C54" s="3"/>
      <c r="D54" s="10">
        <f>QUARTILE(N4:N23,2)</f>
        <v>64.254999999999995</v>
      </c>
      <c r="E54" s="3" t="s">
        <v>5</v>
      </c>
      <c r="F54" s="3" t="s">
        <v>4</v>
      </c>
      <c r="G54" s="3"/>
      <c r="H54">
        <v>0</v>
      </c>
    </row>
    <row r="55" spans="1:13">
      <c r="A55" t="s">
        <v>257</v>
      </c>
      <c r="B55" s="3">
        <f>B52*0.5</f>
        <v>2.25</v>
      </c>
      <c r="C55" s="3"/>
      <c r="D55" s="10">
        <f>QUARTILE(N4:N23,3)</f>
        <v>94.867500000000007</v>
      </c>
      <c r="E55" s="3" t="s">
        <v>2</v>
      </c>
      <c r="F55" s="3"/>
      <c r="G55" s="3"/>
    </row>
    <row r="56" spans="1:13">
      <c r="A56" t="s">
        <v>256</v>
      </c>
      <c r="B56" s="3">
        <f>B52*0.25</f>
        <v>1.125</v>
      </c>
      <c r="C56" s="3"/>
      <c r="D56" s="3"/>
      <c r="E56" s="3"/>
      <c r="F56" s="3"/>
      <c r="G56" s="3"/>
    </row>
    <row r="57" spans="1:13">
      <c r="B57" s="3"/>
      <c r="C57" s="3"/>
      <c r="D57" s="3"/>
      <c r="E57" s="3"/>
      <c r="F57" s="3"/>
      <c r="G57" s="3"/>
    </row>
    <row r="58" spans="1:13" ht="34.5">
      <c r="A58" s="6" t="s">
        <v>31</v>
      </c>
      <c r="B58" s="9">
        <f>L58-F58</f>
        <v>9</v>
      </c>
      <c r="C58" s="5"/>
      <c r="D58" s="5"/>
      <c r="E58" s="5"/>
      <c r="F58" s="5">
        <f>0.1*L58</f>
        <v>1</v>
      </c>
      <c r="G58" s="5"/>
      <c r="H58" s="7"/>
      <c r="I58" s="7"/>
      <c r="J58" s="7"/>
      <c r="K58" s="7"/>
      <c r="L58" s="5">
        <v>10</v>
      </c>
      <c r="M58" s="5"/>
    </row>
    <row r="59" spans="1:13">
      <c r="A59" t="s">
        <v>206</v>
      </c>
      <c r="B59" s="10">
        <f>B58*0.25</f>
        <v>2.25</v>
      </c>
      <c r="C59" s="3"/>
      <c r="D59" s="3"/>
      <c r="E59" s="3"/>
      <c r="F59" s="3" t="s">
        <v>7</v>
      </c>
      <c r="G59" s="3"/>
      <c r="H59">
        <v>1</v>
      </c>
    </row>
    <row r="60" spans="1:13">
      <c r="A60" t="s">
        <v>205</v>
      </c>
      <c r="B60" s="3">
        <f>B58*0.5</f>
        <v>4.5</v>
      </c>
      <c r="C60" s="3"/>
      <c r="D60" s="3"/>
      <c r="E60" s="3"/>
      <c r="F60" s="3" t="s">
        <v>4</v>
      </c>
      <c r="G60" s="3"/>
      <c r="H60">
        <v>0</v>
      </c>
    </row>
    <row r="61" spans="1:13">
      <c r="A61" t="s">
        <v>204</v>
      </c>
      <c r="B61" s="3">
        <f>B58*0.75</f>
        <v>6.75</v>
      </c>
      <c r="C61" s="3"/>
      <c r="D61" s="3"/>
      <c r="E61" s="3"/>
      <c r="F61" s="3"/>
      <c r="G61" s="3"/>
    </row>
    <row r="62" spans="1:13">
      <c r="A62" t="s">
        <v>203</v>
      </c>
      <c r="B62" s="3">
        <f>B58*1</f>
        <v>9</v>
      </c>
      <c r="C62" s="3"/>
      <c r="D62" s="3"/>
      <c r="E62" s="3"/>
      <c r="F62" s="3"/>
      <c r="G62" s="3"/>
    </row>
    <row r="63" spans="1:13">
      <c r="B63" s="3"/>
      <c r="C63" s="3"/>
      <c r="D63" s="3"/>
      <c r="E63" s="3"/>
      <c r="F63" s="3"/>
      <c r="G63" s="3"/>
    </row>
    <row r="64" spans="1:13" ht="34.5">
      <c r="A64" s="6" t="s">
        <v>26</v>
      </c>
      <c r="B64" s="9">
        <f>L64-F64</f>
        <v>13.5</v>
      </c>
      <c r="C64" s="5"/>
      <c r="D64" s="5"/>
      <c r="E64" s="5"/>
      <c r="F64" s="5">
        <f>L64*0.1</f>
        <v>1.5</v>
      </c>
      <c r="G64" s="5"/>
      <c r="H64" s="7"/>
      <c r="I64" s="7"/>
      <c r="J64" s="7"/>
      <c r="K64" s="7"/>
      <c r="L64" s="5">
        <v>15</v>
      </c>
      <c r="M64" s="5"/>
    </row>
    <row r="65" spans="1:13">
      <c r="A65" t="s">
        <v>202</v>
      </c>
      <c r="B65" s="10">
        <f>B64*0.25</f>
        <v>3.375</v>
      </c>
      <c r="C65" s="3"/>
      <c r="D65" s="3"/>
      <c r="E65" s="3"/>
      <c r="F65" s="3" t="s">
        <v>7</v>
      </c>
      <c r="G65" s="3"/>
      <c r="H65">
        <v>1.5</v>
      </c>
    </row>
    <row r="66" spans="1:13">
      <c r="A66" t="s">
        <v>201</v>
      </c>
      <c r="B66" s="3">
        <f>B64*0.5</f>
        <v>6.75</v>
      </c>
      <c r="C66" s="3"/>
      <c r="D66" s="3"/>
      <c r="E66" s="3"/>
      <c r="F66" s="3" t="s">
        <v>4</v>
      </c>
      <c r="G66" s="3"/>
      <c r="H66">
        <v>0</v>
      </c>
    </row>
    <row r="67" spans="1:13">
      <c r="A67" t="s">
        <v>200</v>
      </c>
      <c r="B67" s="3">
        <f>B64*0.75</f>
        <v>10.125</v>
      </c>
      <c r="C67" s="3"/>
      <c r="D67" s="3"/>
      <c r="E67" s="3"/>
      <c r="F67" s="3"/>
      <c r="G67" s="3"/>
    </row>
    <row r="68" spans="1:13">
      <c r="A68" t="s">
        <v>199</v>
      </c>
      <c r="B68" s="3">
        <f>B64*1</f>
        <v>13.5</v>
      </c>
      <c r="C68" s="3"/>
      <c r="D68" s="3"/>
      <c r="E68" s="3"/>
      <c r="F68" s="3"/>
      <c r="G68" s="3"/>
    </row>
    <row r="69" spans="1:13">
      <c r="B69" s="3"/>
      <c r="C69" s="3"/>
      <c r="D69" s="3"/>
      <c r="E69" s="3"/>
      <c r="F69" s="3"/>
      <c r="G69" s="3"/>
    </row>
    <row r="70" spans="1:13" ht="17.25">
      <c r="A70" s="6" t="s">
        <v>21</v>
      </c>
      <c r="B70" s="9">
        <f>L70-F70</f>
        <v>13.5</v>
      </c>
      <c r="C70" s="5"/>
      <c r="D70" s="5"/>
      <c r="E70" s="5"/>
      <c r="F70" s="5">
        <f>L70*0.1</f>
        <v>1.5</v>
      </c>
      <c r="G70" s="5"/>
      <c r="H70" s="7"/>
      <c r="I70" s="7"/>
      <c r="J70" s="7"/>
      <c r="K70" s="7"/>
      <c r="L70" s="5">
        <v>15</v>
      </c>
      <c r="M70" s="5"/>
    </row>
    <row r="71" spans="1:13">
      <c r="A71" t="s">
        <v>198</v>
      </c>
      <c r="B71" s="10">
        <f>B70*0.25</f>
        <v>3.375</v>
      </c>
      <c r="C71" s="3"/>
      <c r="D71" s="3"/>
      <c r="E71" s="3"/>
      <c r="F71" s="3" t="s">
        <v>7</v>
      </c>
      <c r="G71" s="3"/>
      <c r="H71">
        <v>1.5</v>
      </c>
    </row>
    <row r="72" spans="1:13">
      <c r="A72" t="s">
        <v>197</v>
      </c>
      <c r="B72" s="3">
        <f>B70*0.5</f>
        <v>6.75</v>
      </c>
      <c r="C72" s="3"/>
      <c r="D72" s="3"/>
      <c r="E72" s="3"/>
      <c r="F72" s="3" t="s">
        <v>4</v>
      </c>
      <c r="G72" s="3"/>
      <c r="H72">
        <v>0</v>
      </c>
    </row>
    <row r="73" spans="1:13">
      <c r="A73" t="s">
        <v>196</v>
      </c>
      <c r="B73" s="3">
        <f>B70*0.75</f>
        <v>10.125</v>
      </c>
      <c r="C73" s="3"/>
      <c r="D73" s="3"/>
      <c r="E73" s="3"/>
      <c r="F73" s="3"/>
      <c r="G73" s="3"/>
    </row>
    <row r="74" spans="1:13">
      <c r="A74" t="s">
        <v>195</v>
      </c>
      <c r="B74" s="3">
        <f>B70*1</f>
        <v>13.5</v>
      </c>
      <c r="C74" s="3"/>
      <c r="D74" s="3"/>
      <c r="E74" s="3"/>
      <c r="F74" s="3"/>
      <c r="G74" s="3"/>
    </row>
    <row r="75" spans="1:13">
      <c r="B75" s="3"/>
      <c r="C75" s="3"/>
      <c r="D75" s="3"/>
      <c r="E75" s="3"/>
      <c r="F75" s="3"/>
      <c r="G75" s="3"/>
    </row>
    <row r="76" spans="1:13" ht="34.5">
      <c r="A76" s="6" t="s">
        <v>16</v>
      </c>
      <c r="B76" s="9">
        <f>L76-F76</f>
        <v>4.5</v>
      </c>
      <c r="C76" s="5"/>
      <c r="D76" s="5"/>
      <c r="E76" s="5"/>
      <c r="F76" s="5">
        <f>L76*0.1</f>
        <v>0.5</v>
      </c>
      <c r="G76" s="5"/>
      <c r="H76" s="7"/>
      <c r="I76" s="7"/>
      <c r="J76" s="7"/>
      <c r="K76" s="7"/>
      <c r="L76" s="5">
        <v>5</v>
      </c>
      <c r="M76" s="5"/>
    </row>
    <row r="77" spans="1:13">
      <c r="A77" t="s">
        <v>255</v>
      </c>
      <c r="B77" s="10">
        <f>B76*0.25</f>
        <v>1.125</v>
      </c>
      <c r="C77" s="3"/>
      <c r="D77" s="37">
        <f>QUARTILE(AD4:AD23,1)</f>
        <v>1.0124250000000001</v>
      </c>
      <c r="E77" s="3" t="s">
        <v>8</v>
      </c>
      <c r="F77" s="3" t="s">
        <v>7</v>
      </c>
      <c r="G77" s="3"/>
      <c r="H77">
        <v>0.5</v>
      </c>
    </row>
    <row r="78" spans="1:13">
      <c r="A78" t="s">
        <v>254</v>
      </c>
      <c r="B78" s="3">
        <f>B76*0.5</f>
        <v>2.25</v>
      </c>
      <c r="C78" s="3"/>
      <c r="D78" s="37">
        <f>QUARTILE(AD4:AD23,2)</f>
        <v>1.0348999999999999</v>
      </c>
      <c r="E78" s="3" t="s">
        <v>5</v>
      </c>
      <c r="F78" s="3" t="s">
        <v>4</v>
      </c>
      <c r="G78" s="3"/>
      <c r="H78">
        <v>0</v>
      </c>
    </row>
    <row r="79" spans="1:13">
      <c r="A79" t="s">
        <v>253</v>
      </c>
      <c r="B79" s="3">
        <f>B76*0.75</f>
        <v>3.375</v>
      </c>
      <c r="C79" s="3"/>
      <c r="D79" s="37">
        <f>QUARTILE(AD4:AD23,3)</f>
        <v>1.0568249999999999</v>
      </c>
      <c r="E79" s="3" t="s">
        <v>2</v>
      </c>
      <c r="F79" s="3"/>
      <c r="G79" s="3"/>
    </row>
    <row r="80" spans="1:13">
      <c r="A80" t="s">
        <v>252</v>
      </c>
      <c r="B80" s="3">
        <f>B76*1</f>
        <v>4.5</v>
      </c>
      <c r="C80" s="3"/>
      <c r="D80" s="3"/>
      <c r="E80" s="3"/>
      <c r="F80" s="3"/>
      <c r="G80" s="3"/>
    </row>
    <row r="81" spans="1:15">
      <c r="B81" s="3"/>
      <c r="C81" s="3"/>
      <c r="D81" s="3"/>
      <c r="E81" s="3"/>
      <c r="F81" s="3"/>
      <c r="G81" s="3"/>
    </row>
    <row r="82" spans="1:15" ht="17.25">
      <c r="A82" s="6" t="s">
        <v>11</v>
      </c>
      <c r="B82" s="9">
        <f>L82-F82</f>
        <v>9</v>
      </c>
      <c r="C82" s="5"/>
      <c r="D82" s="5"/>
      <c r="E82" s="5"/>
      <c r="F82" s="5">
        <f>L82*0.1</f>
        <v>1</v>
      </c>
      <c r="G82" s="5"/>
      <c r="H82" s="5"/>
      <c r="I82" s="5"/>
      <c r="J82" s="5"/>
      <c r="K82" s="5"/>
      <c r="L82" s="5">
        <v>10</v>
      </c>
      <c r="M82" s="5"/>
      <c r="N82" s="8"/>
      <c r="O82" s="8"/>
    </row>
    <row r="83" spans="1:15">
      <c r="A83" t="s">
        <v>251</v>
      </c>
      <c r="B83" s="10">
        <f>B82*0.25</f>
        <v>2.25</v>
      </c>
      <c r="C83" s="3"/>
      <c r="D83" s="36">
        <f>QUARTILE(AH4:AH23,1)</f>
        <v>3.3125000000000002E-2</v>
      </c>
      <c r="E83" s="3" t="s">
        <v>8</v>
      </c>
      <c r="F83" s="3" t="s">
        <v>7</v>
      </c>
      <c r="G83" s="3"/>
      <c r="H83">
        <v>1</v>
      </c>
    </row>
    <row r="84" spans="1:15">
      <c r="A84" t="s">
        <v>250</v>
      </c>
      <c r="B84" s="3">
        <f>B82*0.5</f>
        <v>4.5</v>
      </c>
      <c r="C84" s="3"/>
      <c r="D84" s="36">
        <f>QUARTILE(AH4:AH23,2)</f>
        <v>5.815E-2</v>
      </c>
      <c r="E84" s="3" t="s">
        <v>5</v>
      </c>
      <c r="F84" s="3" t="s">
        <v>4</v>
      </c>
      <c r="G84" s="3"/>
      <c r="H84">
        <v>0</v>
      </c>
    </row>
    <row r="85" spans="1:15">
      <c r="A85" t="s">
        <v>249</v>
      </c>
      <c r="B85" s="3">
        <f>B82*0.75</f>
        <v>6.75</v>
      </c>
      <c r="C85" s="3"/>
      <c r="D85" s="36">
        <f>QUARTILE(AH4:AH23,3)</f>
        <v>6.7275000000000001E-2</v>
      </c>
      <c r="E85" s="3" t="s">
        <v>2</v>
      </c>
      <c r="F85" s="3"/>
      <c r="G85" s="3"/>
    </row>
    <row r="86" spans="1:15">
      <c r="A86" t="s">
        <v>248</v>
      </c>
      <c r="B86" s="3">
        <f>B82*1</f>
        <v>9</v>
      </c>
      <c r="C86" s="3"/>
      <c r="D86" s="3"/>
      <c r="E86" s="3"/>
      <c r="F86" s="3"/>
      <c r="G86" s="3"/>
    </row>
    <row r="87" spans="1:15">
      <c r="B87" s="3"/>
      <c r="C87" s="3"/>
      <c r="D87" s="3"/>
      <c r="E87" s="3"/>
      <c r="F87" s="3"/>
      <c r="G87" s="3"/>
    </row>
    <row r="88" spans="1:15" ht="18.75">
      <c r="B88" s="504" t="s">
        <v>0</v>
      </c>
      <c r="C88" s="504"/>
      <c r="D88" s="504"/>
      <c r="E88" s="504"/>
      <c r="F88" s="504"/>
      <c r="G88" s="504"/>
      <c r="H88" s="504"/>
      <c r="I88" s="504"/>
      <c r="J88" s="504"/>
      <c r="K88" s="2"/>
      <c r="L88" s="1">
        <f>SUM(L27:L85)</f>
        <v>100</v>
      </c>
      <c r="M88" s="1"/>
    </row>
  </sheetData>
  <mergeCells count="2">
    <mergeCell ref="A1:AJ2"/>
    <mergeCell ref="B88:J88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L87"/>
  <sheetViews>
    <sheetView topLeftCell="A66" zoomScale="80" zoomScaleNormal="80" workbookViewId="0">
      <selection activeCell="H83" sqref="H83"/>
    </sheetView>
  </sheetViews>
  <sheetFormatPr defaultRowHeight="15"/>
  <cols>
    <col min="1" max="1" width="20.85546875" bestFit="1" customWidth="1"/>
    <col min="2" max="2" width="11" bestFit="1" customWidth="1"/>
    <col min="3" max="3" width="11.28515625" bestFit="1" customWidth="1"/>
    <col min="4" max="4" width="17" bestFit="1" customWidth="1"/>
    <col min="5" max="5" width="11.28515625" bestFit="1" customWidth="1"/>
    <col min="6" max="6" width="15.140625" bestFit="1" customWidth="1"/>
    <col min="7" max="7" width="11.28515625" bestFit="1" customWidth="1"/>
    <col min="8" max="8" width="13.85546875" bestFit="1" customWidth="1"/>
    <col min="9" max="9" width="11.28515625" bestFit="1" customWidth="1"/>
    <col min="10" max="10" width="14.85546875" bestFit="1" customWidth="1"/>
    <col min="11" max="11" width="11.28515625" bestFit="1" customWidth="1"/>
    <col min="12" max="12" width="33.140625" bestFit="1" customWidth="1"/>
    <col min="13" max="13" width="11.28515625" bestFit="1" customWidth="1"/>
    <col min="14" max="14" width="15.28515625" bestFit="1" customWidth="1"/>
    <col min="15" max="15" width="11.28515625" bestFit="1" customWidth="1"/>
    <col min="16" max="16" width="13.85546875" bestFit="1" customWidth="1"/>
    <col min="17" max="17" width="11.28515625" bestFit="1" customWidth="1"/>
    <col min="18" max="18" width="16.42578125" bestFit="1" customWidth="1"/>
    <col min="19" max="19" width="11.28515625" bestFit="1" customWidth="1"/>
    <col min="20" max="20" width="13.85546875" bestFit="1" customWidth="1"/>
    <col min="21" max="21" width="11.28515625" bestFit="1" customWidth="1"/>
    <col min="22" max="22" width="17.28515625" bestFit="1" customWidth="1"/>
    <col min="23" max="23" width="11.28515625" bestFit="1" customWidth="1"/>
    <col min="24" max="24" width="13.85546875" bestFit="1" customWidth="1"/>
    <col min="25" max="25" width="11.28515625" bestFit="1" customWidth="1"/>
    <col min="26" max="26" width="17.85546875" bestFit="1" customWidth="1"/>
    <col min="27" max="27" width="11.28515625" bestFit="1" customWidth="1"/>
    <col min="28" max="28" width="13.85546875" bestFit="1" customWidth="1"/>
    <col min="29" max="29" width="11.28515625" bestFit="1" customWidth="1"/>
    <col min="30" max="30" width="13" bestFit="1" customWidth="1"/>
    <col min="31" max="31" width="11.28515625" customWidth="1"/>
    <col min="32" max="32" width="13.85546875" bestFit="1" customWidth="1"/>
    <col min="33" max="33" width="11.28515625" bestFit="1" customWidth="1"/>
    <col min="34" max="34" width="8.28515625" bestFit="1" customWidth="1"/>
    <col min="35" max="35" width="11.28515625" bestFit="1" customWidth="1"/>
    <col min="36" max="36" width="13.85546875" bestFit="1" customWidth="1"/>
    <col min="37" max="37" width="11.28515625" bestFit="1" customWidth="1"/>
    <col min="38" max="38" width="15.28515625" bestFit="1" customWidth="1"/>
  </cols>
  <sheetData>
    <row r="1" spans="1:38">
      <c r="A1" s="503" t="s">
        <v>247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</row>
    <row r="2" spans="1:38">
      <c r="A2" s="503"/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  <c r="AF2" s="503"/>
      <c r="AG2" s="503"/>
      <c r="AH2" s="503"/>
      <c r="AI2" s="503"/>
      <c r="AJ2" s="503"/>
    </row>
    <row r="3" spans="1:38" ht="60">
      <c r="A3" s="39" t="s">
        <v>97</v>
      </c>
      <c r="B3" s="39" t="s">
        <v>96</v>
      </c>
      <c r="C3" s="51" t="s">
        <v>93</v>
      </c>
      <c r="D3" s="51" t="s">
        <v>95</v>
      </c>
      <c r="E3" s="51" t="s">
        <v>93</v>
      </c>
      <c r="F3" s="39" t="s">
        <v>94</v>
      </c>
      <c r="G3" s="51" t="s">
        <v>83</v>
      </c>
      <c r="H3" s="51" t="s">
        <v>84</v>
      </c>
      <c r="I3" s="51" t="s">
        <v>93</v>
      </c>
      <c r="J3" s="39" t="s">
        <v>92</v>
      </c>
      <c r="K3" s="51" t="s">
        <v>83</v>
      </c>
      <c r="L3" s="52" t="s">
        <v>91</v>
      </c>
      <c r="M3" s="51" t="s">
        <v>83</v>
      </c>
      <c r="N3" s="51" t="s">
        <v>90</v>
      </c>
      <c r="O3" s="51" t="s">
        <v>83</v>
      </c>
      <c r="P3" s="51" t="s">
        <v>84</v>
      </c>
      <c r="Q3" s="51" t="s">
        <v>83</v>
      </c>
      <c r="R3" s="51" t="s">
        <v>246</v>
      </c>
      <c r="S3" s="51" t="s">
        <v>83</v>
      </c>
      <c r="T3" s="51" t="s">
        <v>84</v>
      </c>
      <c r="U3" s="51" t="s">
        <v>83</v>
      </c>
      <c r="V3" s="51" t="s">
        <v>88</v>
      </c>
      <c r="W3" s="51" t="s">
        <v>83</v>
      </c>
      <c r="X3" s="51" t="s">
        <v>84</v>
      </c>
      <c r="Y3" s="51" t="s">
        <v>83</v>
      </c>
      <c r="Z3" s="51" t="s">
        <v>87</v>
      </c>
      <c r="AA3" s="51" t="s">
        <v>83</v>
      </c>
      <c r="AB3" s="51" t="s">
        <v>84</v>
      </c>
      <c r="AC3" s="51" t="s">
        <v>83</v>
      </c>
      <c r="AD3" s="51" t="s">
        <v>86</v>
      </c>
      <c r="AE3" s="51" t="s">
        <v>83</v>
      </c>
      <c r="AF3" s="51" t="s">
        <v>84</v>
      </c>
      <c r="AG3" s="51" t="s">
        <v>83</v>
      </c>
      <c r="AH3" s="51" t="s">
        <v>85</v>
      </c>
      <c r="AI3" s="51" t="s">
        <v>83</v>
      </c>
      <c r="AJ3" s="51" t="s">
        <v>84</v>
      </c>
      <c r="AK3" s="51" t="s">
        <v>83</v>
      </c>
      <c r="AL3" s="51" t="s">
        <v>82</v>
      </c>
    </row>
    <row r="4" spans="1:38">
      <c r="A4" s="45" t="s">
        <v>245</v>
      </c>
      <c r="B4" s="44">
        <v>9.6</v>
      </c>
      <c r="C4" s="43">
        <f t="shared" ref="C4:C23" si="0">IF(B4&gt;6.2,$B$30,IF(AND(B4&lt;=6.2,B4&gt;1.1),$B$29,IF(AND(B4&lt;=1.1,B4&gt;-4.8),$B$28,$B$27)))</f>
        <v>13.5</v>
      </c>
      <c r="D4" s="39">
        <v>1</v>
      </c>
      <c r="E4" s="39">
        <f t="shared" ref="E4:E23" si="1">IF(D4=0,"0",$F$26)</f>
        <v>1.5</v>
      </c>
      <c r="F4" s="49">
        <v>20.2</v>
      </c>
      <c r="G4" s="43">
        <f t="shared" ref="G4:G23" si="2">IF(F4&gt;34.3,$B$36,IF(AND(F4&lt;=34.3,F4&gt;6),$B$35,IF(AND(F4&lt;=6,F4&gt;0),$B$34,$B$33)))</f>
        <v>10.125</v>
      </c>
      <c r="H4" s="39">
        <v>1</v>
      </c>
      <c r="I4" s="39">
        <f t="shared" ref="I4:I23" si="3">IF(H4=0,"0",$F$33)</f>
        <v>1.5</v>
      </c>
      <c r="J4" s="46">
        <v>3.9899999999999998E-2</v>
      </c>
      <c r="K4" s="40">
        <f t="shared" ref="K4:K23" si="4">IF(J4&gt;QUARTILE($J$4:$J$23,3),$B$43,IF(AND(J4&lt;=QUARTILE($J$4:$J$23,3),J4&gt;QUARTILE($J$4:$J$23,2)),$B$42,IF(AND(J4&lt;=QUARTILE($J$4:$J$23,2),J4&gt;QUARTILE($J$4:$J$23,1)),$B$41,$B$40)))</f>
        <v>3.75</v>
      </c>
      <c r="L4" s="46">
        <v>0.2525</v>
      </c>
      <c r="M4" s="42">
        <f t="shared" ref="M4:M23" si="5">IF(L4&gt;QUARTILE($L$4:$L$23,3),$B$49,IF(AND(L4&lt;=QUARTILE($L$4:$L$23,3),L4&gt;QUARTILE($L$4:$L$23,2)),$B$48,IF(AND(L4&lt;=QUARTILE($L$4:$L$23,2),L4&gt;QUARTILE($L$4:$L$23,1)),$B$47,$B$46)))</f>
        <v>3.75</v>
      </c>
      <c r="N4" s="43">
        <v>6.18</v>
      </c>
      <c r="O4" s="40">
        <f t="shared" ref="O4:O23" si="6">IF(N4&gt;QUARTILE($N$4:$N$23,3),$B$55,IF(AND(N4&lt;=QUARTILE($N$4:$N$23,3),N4&gt;QUARTILE($N$4:$N$23,2)),$B$54,IF(AND(N4&lt;=QUARTILE($N$4:$N$23,2),N4&gt;QUARTILE($N$4:$N$23,1)),$B$53,$B$52)))</f>
        <v>4.5</v>
      </c>
      <c r="P4" s="43">
        <v>0</v>
      </c>
      <c r="Q4" s="43" t="str">
        <f t="shared" ref="Q4:Q23" si="7">IF(P4=0,"0",$F$51)</f>
        <v>0</v>
      </c>
      <c r="R4" s="46">
        <v>0.18870000000000001</v>
      </c>
      <c r="S4" s="42">
        <f t="shared" ref="S4:S23" si="8">IF(R4&gt;14.22%,$B$61,IF(AND(R4&lt;=14.22%,R4&gt;5.46%),$B$60,IF(AND(R4&lt;=5.46%,R4&gt;-3.38),$B$59,$B$58)))</f>
        <v>9</v>
      </c>
      <c r="T4" s="47">
        <v>0</v>
      </c>
      <c r="U4" s="42" t="str">
        <f t="shared" ref="U4:U23" si="9">IF(T4=0,"0",$F$57)</f>
        <v>0</v>
      </c>
      <c r="V4" s="46">
        <v>0.1188</v>
      </c>
      <c r="W4" s="42">
        <f t="shared" ref="W4:W23" si="10">IF(V4&gt;7.92%,$B$67,IF(AND(V4&lt;=7.92%,V4&gt;2.12%),$B$66,IF(AND(V4&lt;=2.12%,V4&gt;-8.43),$B$65,$B$64)))</f>
        <v>13.5</v>
      </c>
      <c r="X4" s="47">
        <v>0</v>
      </c>
      <c r="Y4" s="42" t="str">
        <f t="shared" ref="Y4:Y23" si="11">IF(X4=0,"0",$F$63)</f>
        <v>0</v>
      </c>
      <c r="Z4" s="46">
        <v>0.1012</v>
      </c>
      <c r="AA4" s="42">
        <f t="shared" ref="AA4:AA23" si="12">IF(Z4&gt;4.91%,$B$73,IF(AND(Z4&lt;=4.91%,Z4&gt;0.77%),$B$72,IF(AND(Z4&lt;=0.77%,Z4&gt;-10.59%),$B$71,$B$70)))</f>
        <v>13.5</v>
      </c>
      <c r="AB4" s="47">
        <v>1</v>
      </c>
      <c r="AC4" s="42">
        <f t="shared" ref="AC4:AC23" si="13">IF(AB4=0,"0",$F$69)</f>
        <v>1.5</v>
      </c>
      <c r="AD4" s="48">
        <v>1.1348100000000001</v>
      </c>
      <c r="AE4" s="40">
        <f t="shared" ref="AE4:AE23" si="14">IF(AD4&gt;QUARTILE($AD$4:$AD$23,3),$B$79,IF(AND(AD4&lt;=QUARTILE($AD$4:$AD$23,3),AD4&gt;QUARTILE($AD$4:$AD$23,2)),$B$78,IF(AND(AD4&lt;=QUARTILE($AD$4:$AD$23,2),AD4&gt;QUARTILE($AD$4:$AD$23,1)),$B$77,$B$76)))</f>
        <v>4.5</v>
      </c>
      <c r="AF4" s="47">
        <v>0</v>
      </c>
      <c r="AG4" s="42" t="str">
        <f t="shared" ref="AG4:AG23" si="15">IF(AF4=0,"0",$F$75)</f>
        <v>0</v>
      </c>
      <c r="AH4" s="46">
        <v>0.17934256143788066</v>
      </c>
      <c r="AI4" s="40">
        <f t="shared" ref="AI4:AI23" si="16">IF(AH4&gt;QUARTILE($AH$4:$AH$23,3),$B$85,IF(AND(AH4&lt;=QUARTILE($AH$4:$AH$23,3),AH4&gt;QUARTILE($AH$4:$AH$23,2)),$B$84,IF(AND(AH4&lt;=QUARTILE($AH$4:$AH$23,2),AH4&gt;QUARTILE($AH$4:$AH$23,1)),$B$83,$B$82)))</f>
        <v>9</v>
      </c>
      <c r="AJ4" s="39">
        <v>1</v>
      </c>
      <c r="AK4" s="39">
        <f t="shared" ref="AK4:AK23" si="17">IF(AJ4=0,"0",$F$81)</f>
        <v>1</v>
      </c>
      <c r="AL4" s="38">
        <f t="shared" ref="AL4:AL23" si="18">C4+E4+G4+I4+K4+M4+O4+Q4+S4+U4+W4+Y4+AA4+AC4+AE4+AG4+AI4+AK4</f>
        <v>90.625</v>
      </c>
    </row>
    <row r="5" spans="1:38">
      <c r="A5" s="45" t="s">
        <v>244</v>
      </c>
      <c r="B5" s="44">
        <v>4.7</v>
      </c>
      <c r="C5" s="43">
        <f t="shared" si="0"/>
        <v>10.125</v>
      </c>
      <c r="D5" s="39">
        <v>1</v>
      </c>
      <c r="E5" s="39">
        <f t="shared" si="1"/>
        <v>1.5</v>
      </c>
      <c r="F5" s="49">
        <v>6.1</v>
      </c>
      <c r="G5" s="43">
        <f t="shared" si="2"/>
        <v>10.125</v>
      </c>
      <c r="H5" s="39">
        <v>1</v>
      </c>
      <c r="I5" s="39">
        <f t="shared" si="3"/>
        <v>1.5</v>
      </c>
      <c r="J5" s="46">
        <v>8.1000000000000003E-2</v>
      </c>
      <c r="K5" s="40">
        <f t="shared" si="4"/>
        <v>5</v>
      </c>
      <c r="L5" s="46">
        <v>-0.1822</v>
      </c>
      <c r="M5" s="42">
        <f t="shared" si="5"/>
        <v>2.5</v>
      </c>
      <c r="N5" s="43">
        <v>73.13</v>
      </c>
      <c r="O5" s="40">
        <f t="shared" si="6"/>
        <v>2.25</v>
      </c>
      <c r="P5" s="43">
        <v>0</v>
      </c>
      <c r="Q5" s="43" t="str">
        <f t="shared" si="7"/>
        <v>0</v>
      </c>
      <c r="R5" s="46">
        <v>8.9800000000000005E-2</v>
      </c>
      <c r="S5" s="42">
        <f t="shared" si="8"/>
        <v>6.75</v>
      </c>
      <c r="T5" s="47">
        <v>1</v>
      </c>
      <c r="U5" s="42">
        <f t="shared" si="9"/>
        <v>1</v>
      </c>
      <c r="V5" s="46">
        <v>4.0099999999999997E-2</v>
      </c>
      <c r="W5" s="42">
        <f t="shared" si="10"/>
        <v>10.125</v>
      </c>
      <c r="X5" s="47">
        <v>1</v>
      </c>
      <c r="Y5" s="42">
        <f t="shared" si="11"/>
        <v>1.5</v>
      </c>
      <c r="Z5" s="46">
        <v>4.1399999999999999E-2</v>
      </c>
      <c r="AA5" s="42">
        <f t="shared" si="12"/>
        <v>10.125</v>
      </c>
      <c r="AB5" s="47">
        <v>0</v>
      </c>
      <c r="AC5" s="42" t="str">
        <f t="shared" si="13"/>
        <v>0</v>
      </c>
      <c r="AD5" s="48">
        <v>1.04176</v>
      </c>
      <c r="AE5" s="40">
        <f t="shared" si="14"/>
        <v>3.375</v>
      </c>
      <c r="AF5" s="47">
        <v>1</v>
      </c>
      <c r="AG5" s="42">
        <f t="shared" si="15"/>
        <v>0.5</v>
      </c>
      <c r="AH5" s="46">
        <v>8.5087646180745241E-2</v>
      </c>
      <c r="AI5" s="40">
        <f t="shared" si="16"/>
        <v>6.75</v>
      </c>
      <c r="AJ5" s="39">
        <v>0</v>
      </c>
      <c r="AK5" s="39" t="str">
        <f t="shared" si="17"/>
        <v>0</v>
      </c>
      <c r="AL5" s="38">
        <f t="shared" si="18"/>
        <v>73.125</v>
      </c>
    </row>
    <row r="6" spans="1:38">
      <c r="A6" s="45" t="s">
        <v>243</v>
      </c>
      <c r="B6" s="44">
        <v>-4.4000000000000004</v>
      </c>
      <c r="C6" s="43">
        <f t="shared" si="0"/>
        <v>6.75</v>
      </c>
      <c r="D6" s="39">
        <v>0</v>
      </c>
      <c r="E6" s="39" t="str">
        <f t="shared" si="1"/>
        <v>0</v>
      </c>
      <c r="F6" s="49">
        <v>-12.9</v>
      </c>
      <c r="G6" s="43">
        <f t="shared" si="2"/>
        <v>3.375</v>
      </c>
      <c r="H6" s="39">
        <v>0</v>
      </c>
      <c r="I6" s="39" t="str">
        <f t="shared" si="3"/>
        <v>0</v>
      </c>
      <c r="J6" s="46">
        <v>9.2999999999999992E-3</v>
      </c>
      <c r="K6" s="40">
        <f t="shared" si="4"/>
        <v>2.5</v>
      </c>
      <c r="L6" s="46">
        <v>-49.130800000000001</v>
      </c>
      <c r="M6" s="42">
        <f t="shared" si="5"/>
        <v>1.25</v>
      </c>
      <c r="N6" s="43">
        <v>105.23</v>
      </c>
      <c r="O6" s="40">
        <f t="shared" si="6"/>
        <v>1.125</v>
      </c>
      <c r="P6" s="43">
        <v>0</v>
      </c>
      <c r="Q6" s="43" t="str">
        <f t="shared" si="7"/>
        <v>0</v>
      </c>
      <c r="R6" s="46">
        <v>-2.6700000000000002E-2</v>
      </c>
      <c r="S6" s="42">
        <f t="shared" si="8"/>
        <v>4.5</v>
      </c>
      <c r="T6" s="47">
        <v>0</v>
      </c>
      <c r="U6" s="42" t="str">
        <f t="shared" si="9"/>
        <v>0</v>
      </c>
      <c r="V6" s="46">
        <v>-1.4999999999999999E-2</v>
      </c>
      <c r="W6" s="42">
        <f t="shared" si="10"/>
        <v>6.75</v>
      </c>
      <c r="X6" s="47">
        <v>0</v>
      </c>
      <c r="Y6" s="42" t="str">
        <f t="shared" si="11"/>
        <v>0</v>
      </c>
      <c r="Z6" s="46">
        <v>-0.1019</v>
      </c>
      <c r="AA6" s="42">
        <f t="shared" si="12"/>
        <v>6.75</v>
      </c>
      <c r="AB6" s="47">
        <v>0</v>
      </c>
      <c r="AC6" s="42" t="str">
        <f t="shared" si="13"/>
        <v>0</v>
      </c>
      <c r="AD6" s="48">
        <v>0.98523000000000005</v>
      </c>
      <c r="AE6" s="40">
        <f t="shared" si="14"/>
        <v>1.125</v>
      </c>
      <c r="AF6" s="47">
        <v>0</v>
      </c>
      <c r="AG6" s="42" t="str">
        <f t="shared" si="15"/>
        <v>0</v>
      </c>
      <c r="AH6" s="46">
        <v>-6.1677631926457852E-2</v>
      </c>
      <c r="AI6" s="40">
        <f t="shared" si="16"/>
        <v>2.25</v>
      </c>
      <c r="AJ6" s="39">
        <v>0</v>
      </c>
      <c r="AK6" s="39" t="str">
        <f t="shared" si="17"/>
        <v>0</v>
      </c>
      <c r="AL6" s="38">
        <f t="shared" si="18"/>
        <v>36.375</v>
      </c>
    </row>
    <row r="7" spans="1:38">
      <c r="A7" s="45" t="s">
        <v>242</v>
      </c>
      <c r="B7" s="44">
        <v>0.7</v>
      </c>
      <c r="C7" s="43">
        <f t="shared" si="0"/>
        <v>6.75</v>
      </c>
      <c r="D7" s="39">
        <v>0</v>
      </c>
      <c r="E7" s="39" t="str">
        <f t="shared" si="1"/>
        <v>0</v>
      </c>
      <c r="F7" s="49">
        <v>1.3</v>
      </c>
      <c r="G7" s="43">
        <f t="shared" si="2"/>
        <v>6.75</v>
      </c>
      <c r="H7" s="39">
        <v>0</v>
      </c>
      <c r="I7" s="39" t="str">
        <f t="shared" si="3"/>
        <v>0</v>
      </c>
      <c r="J7" s="46">
        <v>-5.0000000000000001E-3</v>
      </c>
      <c r="K7" s="40">
        <f t="shared" si="4"/>
        <v>1.25</v>
      </c>
      <c r="L7" s="46">
        <v>-0.42280000000000001</v>
      </c>
      <c r="M7" s="42">
        <f t="shared" si="5"/>
        <v>1.25</v>
      </c>
      <c r="N7" s="43">
        <v>73.680000000000007</v>
      </c>
      <c r="O7" s="40">
        <f t="shared" si="6"/>
        <v>2.25</v>
      </c>
      <c r="P7" s="50">
        <v>1</v>
      </c>
      <c r="Q7" s="43">
        <f t="shared" si="7"/>
        <v>0.5</v>
      </c>
      <c r="R7" s="46">
        <v>5.8900000000000001E-2</v>
      </c>
      <c r="S7" s="42">
        <f t="shared" si="8"/>
        <v>6.75</v>
      </c>
      <c r="T7" s="47">
        <v>0</v>
      </c>
      <c r="U7" s="42" t="str">
        <f t="shared" si="9"/>
        <v>0</v>
      </c>
      <c r="V7" s="46">
        <v>2.3900000000000001E-2</v>
      </c>
      <c r="W7" s="42">
        <f t="shared" si="10"/>
        <v>10.125</v>
      </c>
      <c r="X7" s="47">
        <v>0</v>
      </c>
      <c r="Y7" s="42" t="str">
        <f t="shared" si="11"/>
        <v>0</v>
      </c>
      <c r="Z7" s="46">
        <v>8.8999999999999999E-3</v>
      </c>
      <c r="AA7" s="42">
        <f t="shared" si="12"/>
        <v>10.125</v>
      </c>
      <c r="AB7" s="47">
        <v>0</v>
      </c>
      <c r="AC7" s="42" t="str">
        <f t="shared" si="13"/>
        <v>0</v>
      </c>
      <c r="AD7" s="48">
        <v>1.0245299999999999</v>
      </c>
      <c r="AE7" s="40">
        <f t="shared" si="14"/>
        <v>2.25</v>
      </c>
      <c r="AF7" s="47">
        <v>0</v>
      </c>
      <c r="AG7" s="42" t="str">
        <f t="shared" si="15"/>
        <v>0</v>
      </c>
      <c r="AH7" s="46">
        <v>3.6741773125116076E-2</v>
      </c>
      <c r="AI7" s="40">
        <f t="shared" si="16"/>
        <v>2.25</v>
      </c>
      <c r="AJ7" s="39">
        <v>0</v>
      </c>
      <c r="AK7" s="39" t="str">
        <f t="shared" si="17"/>
        <v>0</v>
      </c>
      <c r="AL7" s="38">
        <f t="shared" si="18"/>
        <v>50.25</v>
      </c>
    </row>
    <row r="8" spans="1:38">
      <c r="A8" s="45" t="s">
        <v>241</v>
      </c>
      <c r="B8" s="44">
        <v>7.1</v>
      </c>
      <c r="C8" s="43">
        <f t="shared" si="0"/>
        <v>13.5</v>
      </c>
      <c r="D8" s="39">
        <v>0</v>
      </c>
      <c r="E8" s="39" t="str">
        <f t="shared" si="1"/>
        <v>0</v>
      </c>
      <c r="F8" s="49">
        <v>10.199999999999999</v>
      </c>
      <c r="G8" s="43">
        <f t="shared" si="2"/>
        <v>10.125</v>
      </c>
      <c r="H8" s="39">
        <v>0</v>
      </c>
      <c r="I8" s="39" t="str">
        <f t="shared" si="3"/>
        <v>0</v>
      </c>
      <c r="J8" s="46">
        <v>6.4999999999999997E-3</v>
      </c>
      <c r="K8" s="40">
        <f t="shared" si="4"/>
        <v>2.5</v>
      </c>
      <c r="L8" s="46">
        <v>4.8300000000000003E-2</v>
      </c>
      <c r="M8" s="42">
        <f t="shared" si="5"/>
        <v>3.75</v>
      </c>
      <c r="N8" s="43">
        <v>79.56</v>
      </c>
      <c r="O8" s="40">
        <f t="shared" si="6"/>
        <v>1.125</v>
      </c>
      <c r="P8" s="50">
        <v>0</v>
      </c>
      <c r="Q8" s="43" t="str">
        <f t="shared" si="7"/>
        <v>0</v>
      </c>
      <c r="R8" s="46">
        <v>0.16589999999999999</v>
      </c>
      <c r="S8" s="42">
        <f t="shared" si="8"/>
        <v>9</v>
      </c>
      <c r="T8" s="47">
        <v>0</v>
      </c>
      <c r="U8" s="42" t="str">
        <f t="shared" si="9"/>
        <v>0</v>
      </c>
      <c r="V8" s="46">
        <v>0.10639999999999999</v>
      </c>
      <c r="W8" s="42">
        <f t="shared" si="10"/>
        <v>13.5</v>
      </c>
      <c r="X8" s="47">
        <v>1</v>
      </c>
      <c r="Y8" s="42">
        <f t="shared" si="11"/>
        <v>1.5</v>
      </c>
      <c r="Z8" s="46">
        <v>0.1081</v>
      </c>
      <c r="AA8" s="42">
        <f t="shared" si="12"/>
        <v>13.5</v>
      </c>
      <c r="AB8" s="47">
        <v>1</v>
      </c>
      <c r="AC8" s="42">
        <f t="shared" si="13"/>
        <v>1.5</v>
      </c>
      <c r="AD8" s="48">
        <v>1.11907</v>
      </c>
      <c r="AE8" s="40">
        <f t="shared" si="14"/>
        <v>4.5</v>
      </c>
      <c r="AF8" s="47">
        <v>1</v>
      </c>
      <c r="AG8" s="42">
        <f t="shared" si="15"/>
        <v>0.5</v>
      </c>
      <c r="AH8" s="46">
        <v>7.994203043801601E-2</v>
      </c>
      <c r="AI8" s="40">
        <f t="shared" si="16"/>
        <v>6.75</v>
      </c>
      <c r="AJ8" s="39">
        <v>0</v>
      </c>
      <c r="AK8" s="39" t="str">
        <f t="shared" si="17"/>
        <v>0</v>
      </c>
      <c r="AL8" s="38">
        <f t="shared" si="18"/>
        <v>81.75</v>
      </c>
    </row>
    <row r="9" spans="1:38">
      <c r="A9" s="45" t="s">
        <v>240</v>
      </c>
      <c r="B9" s="44">
        <v>9.5</v>
      </c>
      <c r="C9" s="43">
        <f t="shared" si="0"/>
        <v>13.5</v>
      </c>
      <c r="D9" s="39">
        <v>1</v>
      </c>
      <c r="E9" s="39">
        <f t="shared" si="1"/>
        <v>1.5</v>
      </c>
      <c r="F9" s="49">
        <v>21.3</v>
      </c>
      <c r="G9" s="43">
        <f t="shared" si="2"/>
        <v>10.125</v>
      </c>
      <c r="H9" s="39">
        <v>1</v>
      </c>
      <c r="I9" s="39">
        <f t="shared" si="3"/>
        <v>1.5</v>
      </c>
      <c r="J9" s="46">
        <v>5.21E-2</v>
      </c>
      <c r="K9" s="40">
        <f t="shared" si="4"/>
        <v>3.75</v>
      </c>
      <c r="L9" s="46">
        <v>0.50190000000000001</v>
      </c>
      <c r="M9" s="42">
        <f t="shared" si="5"/>
        <v>3.75</v>
      </c>
      <c r="N9" s="43">
        <v>69.75</v>
      </c>
      <c r="O9" s="40">
        <f t="shared" si="6"/>
        <v>2.25</v>
      </c>
      <c r="P9" s="43">
        <v>0</v>
      </c>
      <c r="Q9" s="43" t="str">
        <f t="shared" si="7"/>
        <v>0</v>
      </c>
      <c r="R9" s="46">
        <v>9.8299999999999998E-2</v>
      </c>
      <c r="S9" s="42">
        <f t="shared" si="8"/>
        <v>6.75</v>
      </c>
      <c r="T9" s="47">
        <v>1</v>
      </c>
      <c r="U9" s="42">
        <f t="shared" si="9"/>
        <v>1</v>
      </c>
      <c r="V9" s="46">
        <v>7.7600000000000002E-2</v>
      </c>
      <c r="W9" s="42">
        <f t="shared" si="10"/>
        <v>10.125</v>
      </c>
      <c r="X9" s="47">
        <v>1</v>
      </c>
      <c r="Y9" s="42">
        <f t="shared" si="11"/>
        <v>1.5</v>
      </c>
      <c r="Z9" s="46">
        <v>5.2900000000000003E-2</v>
      </c>
      <c r="AA9" s="42">
        <f t="shared" si="12"/>
        <v>13.5</v>
      </c>
      <c r="AB9" s="47">
        <v>1</v>
      </c>
      <c r="AC9" s="42">
        <f t="shared" si="13"/>
        <v>1.5</v>
      </c>
      <c r="AD9" s="48">
        <v>1.0841000000000001</v>
      </c>
      <c r="AE9" s="40">
        <f t="shared" si="14"/>
        <v>3.375</v>
      </c>
      <c r="AF9" s="47">
        <v>1</v>
      </c>
      <c r="AG9" s="42">
        <f t="shared" si="15"/>
        <v>0.5</v>
      </c>
      <c r="AH9" s="46">
        <v>0.12270561007354021</v>
      </c>
      <c r="AI9" s="40">
        <f t="shared" si="16"/>
        <v>9</v>
      </c>
      <c r="AJ9" s="39">
        <v>1</v>
      </c>
      <c r="AK9" s="39">
        <f t="shared" si="17"/>
        <v>1</v>
      </c>
      <c r="AL9" s="38">
        <f t="shared" si="18"/>
        <v>84.625</v>
      </c>
    </row>
    <row r="10" spans="1:38">
      <c r="A10" s="45" t="s">
        <v>239</v>
      </c>
      <c r="B10" s="44">
        <v>0.9</v>
      </c>
      <c r="C10" s="43">
        <f t="shared" si="0"/>
        <v>6.75</v>
      </c>
      <c r="D10" s="39">
        <v>0</v>
      </c>
      <c r="E10" s="39" t="str">
        <f t="shared" si="1"/>
        <v>0</v>
      </c>
      <c r="F10" s="49">
        <v>-1.8</v>
      </c>
      <c r="G10" s="43">
        <f t="shared" si="2"/>
        <v>3.375</v>
      </c>
      <c r="H10" s="39">
        <v>0</v>
      </c>
      <c r="I10" s="39" t="str">
        <f t="shared" si="3"/>
        <v>0</v>
      </c>
      <c r="J10" s="46">
        <v>-5.6899999999999999E-2</v>
      </c>
      <c r="K10" s="40">
        <f t="shared" si="4"/>
        <v>1.25</v>
      </c>
      <c r="L10" s="46">
        <v>-1.1700999999999999</v>
      </c>
      <c r="M10" s="42">
        <f t="shared" si="5"/>
        <v>1.25</v>
      </c>
      <c r="N10" s="43">
        <v>61.6</v>
      </c>
      <c r="O10" s="40">
        <f t="shared" si="6"/>
        <v>2.25</v>
      </c>
      <c r="P10" s="50">
        <v>1</v>
      </c>
      <c r="Q10" s="43">
        <f t="shared" si="7"/>
        <v>0.5</v>
      </c>
      <c r="R10" s="46">
        <v>6.1100000000000002E-2</v>
      </c>
      <c r="S10" s="42">
        <f t="shared" si="8"/>
        <v>6.75</v>
      </c>
      <c r="T10" s="47">
        <v>0</v>
      </c>
      <c r="U10" s="42" t="str">
        <f t="shared" si="9"/>
        <v>0</v>
      </c>
      <c r="V10" s="46">
        <v>1.2500000000000001E-2</v>
      </c>
      <c r="W10" s="42">
        <f t="shared" si="10"/>
        <v>6.75</v>
      </c>
      <c r="X10" s="47">
        <v>0</v>
      </c>
      <c r="Y10" s="42" t="str">
        <f t="shared" si="11"/>
        <v>0</v>
      </c>
      <c r="Z10" s="46">
        <v>-1.06E-2</v>
      </c>
      <c r="AA10" s="42">
        <f t="shared" si="12"/>
        <v>6.75</v>
      </c>
      <c r="AB10" s="47">
        <v>0</v>
      </c>
      <c r="AC10" s="42" t="str">
        <f t="shared" si="13"/>
        <v>0</v>
      </c>
      <c r="AD10" s="48">
        <v>1.0126500000000001</v>
      </c>
      <c r="AE10" s="40">
        <f t="shared" si="14"/>
        <v>1.125</v>
      </c>
      <c r="AF10" s="47">
        <v>0</v>
      </c>
      <c r="AG10" s="42" t="str">
        <f t="shared" si="15"/>
        <v>0</v>
      </c>
      <c r="AH10" s="46">
        <v>2.0425334085960589E-2</v>
      </c>
      <c r="AI10" s="40">
        <f t="shared" si="16"/>
        <v>2.25</v>
      </c>
      <c r="AJ10" s="39">
        <v>0</v>
      </c>
      <c r="AK10" s="39" t="str">
        <f t="shared" si="17"/>
        <v>0</v>
      </c>
      <c r="AL10" s="38">
        <f t="shared" si="18"/>
        <v>39</v>
      </c>
    </row>
    <row r="11" spans="1:38">
      <c r="A11" s="45" t="s">
        <v>238</v>
      </c>
      <c r="B11" s="44">
        <v>2.2999999999999998</v>
      </c>
      <c r="C11" s="43">
        <f t="shared" si="0"/>
        <v>10.125</v>
      </c>
      <c r="D11" s="39">
        <v>1</v>
      </c>
      <c r="E11" s="39">
        <f t="shared" si="1"/>
        <v>1.5</v>
      </c>
      <c r="F11" s="49">
        <v>3.9</v>
      </c>
      <c r="G11" s="43">
        <f t="shared" si="2"/>
        <v>6.75</v>
      </c>
      <c r="H11" s="39">
        <v>1</v>
      </c>
      <c r="I11" s="39">
        <f t="shared" si="3"/>
        <v>1.5</v>
      </c>
      <c r="J11" s="46">
        <v>6.4600000000000005E-2</v>
      </c>
      <c r="K11" s="40">
        <f t="shared" si="4"/>
        <v>3.75</v>
      </c>
      <c r="L11" s="46">
        <v>0.80179999999999996</v>
      </c>
      <c r="M11" s="42">
        <f t="shared" si="5"/>
        <v>5</v>
      </c>
      <c r="N11" s="43">
        <v>117.07</v>
      </c>
      <c r="O11" s="40">
        <f t="shared" si="6"/>
        <v>1.125</v>
      </c>
      <c r="P11" s="43">
        <v>0</v>
      </c>
      <c r="Q11" s="43" t="str">
        <f t="shared" si="7"/>
        <v>0</v>
      </c>
      <c r="R11" s="46">
        <v>8.2100000000000006E-2</v>
      </c>
      <c r="S11" s="42">
        <f t="shared" si="8"/>
        <v>6.75</v>
      </c>
      <c r="T11" s="47">
        <v>1</v>
      </c>
      <c r="U11" s="42">
        <f t="shared" si="9"/>
        <v>1</v>
      </c>
      <c r="V11" s="46">
        <v>4.0800000000000003E-2</v>
      </c>
      <c r="W11" s="42">
        <f t="shared" si="10"/>
        <v>10.125</v>
      </c>
      <c r="X11" s="47">
        <v>1</v>
      </c>
      <c r="Y11" s="42">
        <f t="shared" si="11"/>
        <v>1.5</v>
      </c>
      <c r="Z11" s="46">
        <v>2.3E-2</v>
      </c>
      <c r="AA11" s="42">
        <f t="shared" si="12"/>
        <v>10.125</v>
      </c>
      <c r="AB11" s="47">
        <v>1</v>
      </c>
      <c r="AC11" s="42">
        <f t="shared" si="13"/>
        <v>1.5</v>
      </c>
      <c r="AD11" s="48">
        <v>1.0425599999999999</v>
      </c>
      <c r="AE11" s="40">
        <f t="shared" si="14"/>
        <v>3.375</v>
      </c>
      <c r="AF11" s="47">
        <v>1</v>
      </c>
      <c r="AG11" s="42">
        <f t="shared" si="15"/>
        <v>0.5</v>
      </c>
      <c r="AH11" s="46">
        <v>5.121787755249619E-2</v>
      </c>
      <c r="AI11" s="40">
        <f t="shared" si="16"/>
        <v>4.5</v>
      </c>
      <c r="AJ11" s="39">
        <v>1</v>
      </c>
      <c r="AK11" s="39">
        <f t="shared" si="17"/>
        <v>1</v>
      </c>
      <c r="AL11" s="38">
        <f t="shared" si="18"/>
        <v>70.125</v>
      </c>
    </row>
    <row r="12" spans="1:38">
      <c r="A12" s="45" t="s">
        <v>237</v>
      </c>
      <c r="B12" s="44">
        <v>12.1</v>
      </c>
      <c r="C12" s="43">
        <f t="shared" si="0"/>
        <v>13.5</v>
      </c>
      <c r="D12" s="39">
        <v>0</v>
      </c>
      <c r="E12" s="39" t="str">
        <f t="shared" si="1"/>
        <v>0</v>
      </c>
      <c r="F12" s="49">
        <v>26.6</v>
      </c>
      <c r="G12" s="43">
        <f t="shared" si="2"/>
        <v>10.125</v>
      </c>
      <c r="H12" s="39">
        <v>0</v>
      </c>
      <c r="I12" s="39" t="str">
        <f t="shared" si="3"/>
        <v>0</v>
      </c>
      <c r="J12" s="46">
        <v>0.1108</v>
      </c>
      <c r="K12" s="40">
        <f t="shared" si="4"/>
        <v>5</v>
      </c>
      <c r="L12" s="46">
        <v>-2.7099999999999999E-2</v>
      </c>
      <c r="M12" s="42">
        <f t="shared" si="5"/>
        <v>2.5</v>
      </c>
      <c r="N12" s="43">
        <v>135.27000000000001</v>
      </c>
      <c r="O12" s="40">
        <f t="shared" si="6"/>
        <v>1.125</v>
      </c>
      <c r="P12" s="43">
        <v>0</v>
      </c>
      <c r="Q12" s="43" t="str">
        <f t="shared" si="7"/>
        <v>0</v>
      </c>
      <c r="R12" s="46">
        <v>0.19489999999999999</v>
      </c>
      <c r="S12" s="42">
        <f t="shared" si="8"/>
        <v>9</v>
      </c>
      <c r="T12" s="47">
        <v>0</v>
      </c>
      <c r="U12" s="42" t="str">
        <f t="shared" si="9"/>
        <v>0</v>
      </c>
      <c r="V12" s="46">
        <v>0.1457</v>
      </c>
      <c r="W12" s="42">
        <f t="shared" si="10"/>
        <v>13.5</v>
      </c>
      <c r="X12" s="47">
        <v>0</v>
      </c>
      <c r="Y12" s="42" t="str">
        <f t="shared" si="11"/>
        <v>0</v>
      </c>
      <c r="Z12" s="46">
        <v>0.1176</v>
      </c>
      <c r="AA12" s="42">
        <f t="shared" si="12"/>
        <v>13.5</v>
      </c>
      <c r="AB12" s="47">
        <v>0</v>
      </c>
      <c r="AC12" s="42" t="str">
        <f t="shared" si="13"/>
        <v>0</v>
      </c>
      <c r="AD12" s="48">
        <v>1.1705099999999999</v>
      </c>
      <c r="AE12" s="40">
        <f t="shared" si="14"/>
        <v>4.5</v>
      </c>
      <c r="AF12" s="47">
        <v>0</v>
      </c>
      <c r="AG12" s="42" t="str">
        <f t="shared" si="15"/>
        <v>0</v>
      </c>
      <c r="AH12" s="46">
        <v>0.20067054718649682</v>
      </c>
      <c r="AI12" s="40">
        <f t="shared" si="16"/>
        <v>9</v>
      </c>
      <c r="AJ12" s="39">
        <v>0</v>
      </c>
      <c r="AK12" s="39" t="str">
        <f t="shared" si="17"/>
        <v>0</v>
      </c>
      <c r="AL12" s="38">
        <f t="shared" si="18"/>
        <v>81.75</v>
      </c>
    </row>
    <row r="13" spans="1:38">
      <c r="A13" s="45" t="s">
        <v>236</v>
      </c>
      <c r="B13" s="44">
        <v>1.8</v>
      </c>
      <c r="C13" s="43">
        <f t="shared" si="0"/>
        <v>10.125</v>
      </c>
      <c r="D13" s="39">
        <v>1</v>
      </c>
      <c r="E13" s="39">
        <f t="shared" si="1"/>
        <v>1.5</v>
      </c>
      <c r="F13" s="49">
        <v>3</v>
      </c>
      <c r="G13" s="43">
        <f t="shared" si="2"/>
        <v>6.75</v>
      </c>
      <c r="H13" s="39">
        <v>1</v>
      </c>
      <c r="I13" s="39">
        <f t="shared" si="3"/>
        <v>1.5</v>
      </c>
      <c r="J13" s="46">
        <v>-6.7000000000000002E-3</v>
      </c>
      <c r="K13" s="40">
        <f t="shared" si="4"/>
        <v>1.25</v>
      </c>
      <c r="L13" s="46">
        <v>0.55020000000000002</v>
      </c>
      <c r="M13" s="42">
        <f t="shared" si="5"/>
        <v>5</v>
      </c>
      <c r="N13" s="43">
        <v>30.18</v>
      </c>
      <c r="O13" s="40">
        <f t="shared" si="6"/>
        <v>4.5</v>
      </c>
      <c r="P13" s="43">
        <v>1</v>
      </c>
      <c r="Q13" s="43">
        <f t="shared" si="7"/>
        <v>0.5</v>
      </c>
      <c r="R13" s="46">
        <v>3.5400000000000001E-2</v>
      </c>
      <c r="S13" s="42">
        <f t="shared" si="8"/>
        <v>4.5</v>
      </c>
      <c r="T13" s="47">
        <v>1</v>
      </c>
      <c r="U13" s="42">
        <f t="shared" si="9"/>
        <v>1</v>
      </c>
      <c r="V13" s="46">
        <v>1.26E-2</v>
      </c>
      <c r="W13" s="42">
        <f t="shared" si="10"/>
        <v>6.75</v>
      </c>
      <c r="X13" s="47">
        <v>1</v>
      </c>
      <c r="Y13" s="42">
        <f t="shared" si="11"/>
        <v>1.5</v>
      </c>
      <c r="Z13" s="46">
        <v>7.1000000000000004E-3</v>
      </c>
      <c r="AA13" s="42">
        <f t="shared" si="12"/>
        <v>6.75</v>
      </c>
      <c r="AB13" s="47">
        <v>1</v>
      </c>
      <c r="AC13" s="42">
        <f t="shared" si="13"/>
        <v>1.5</v>
      </c>
      <c r="AD13" s="48">
        <v>1.0127299999999999</v>
      </c>
      <c r="AE13" s="40">
        <f t="shared" si="14"/>
        <v>1.125</v>
      </c>
      <c r="AF13" s="47">
        <v>1</v>
      </c>
      <c r="AG13" s="42">
        <f t="shared" si="15"/>
        <v>0.5</v>
      </c>
      <c r="AH13" s="46">
        <v>3.2989911668657987E-2</v>
      </c>
      <c r="AI13" s="40">
        <f t="shared" si="16"/>
        <v>2.25</v>
      </c>
      <c r="AJ13" s="39">
        <v>1</v>
      </c>
      <c r="AK13" s="39">
        <f t="shared" si="17"/>
        <v>1</v>
      </c>
      <c r="AL13" s="38">
        <f t="shared" si="18"/>
        <v>58</v>
      </c>
    </row>
    <row r="14" spans="1:38">
      <c r="A14" s="45" t="s">
        <v>235</v>
      </c>
      <c r="B14" s="44">
        <v>12.8</v>
      </c>
      <c r="C14" s="43">
        <f t="shared" si="0"/>
        <v>13.5</v>
      </c>
      <c r="D14" s="39">
        <v>0</v>
      </c>
      <c r="E14" s="39" t="str">
        <f t="shared" si="1"/>
        <v>0</v>
      </c>
      <c r="F14" s="49">
        <v>22.8</v>
      </c>
      <c r="G14" s="43">
        <f t="shared" si="2"/>
        <v>10.125</v>
      </c>
      <c r="H14" s="39">
        <v>0</v>
      </c>
      <c r="I14" s="39" t="str">
        <f t="shared" si="3"/>
        <v>0</v>
      </c>
      <c r="J14" s="46">
        <v>7.7399999999999997E-2</v>
      </c>
      <c r="K14" s="40">
        <f t="shared" si="4"/>
        <v>3.75</v>
      </c>
      <c r="L14" s="46">
        <v>0.13089999999999999</v>
      </c>
      <c r="M14" s="42">
        <f t="shared" si="5"/>
        <v>3.75</v>
      </c>
      <c r="N14" s="43">
        <v>10.6</v>
      </c>
      <c r="O14" s="40">
        <f t="shared" si="6"/>
        <v>4.5</v>
      </c>
      <c r="P14" s="50">
        <v>1</v>
      </c>
      <c r="Q14" s="43">
        <f t="shared" si="7"/>
        <v>0.5</v>
      </c>
      <c r="R14" s="46">
        <v>0.16930000000000001</v>
      </c>
      <c r="S14" s="42">
        <f t="shared" si="8"/>
        <v>9</v>
      </c>
      <c r="T14" s="47">
        <v>0</v>
      </c>
      <c r="U14" s="42" t="str">
        <f t="shared" si="9"/>
        <v>0</v>
      </c>
      <c r="V14" s="46">
        <v>0.14269999999999999</v>
      </c>
      <c r="W14" s="42">
        <f t="shared" si="10"/>
        <v>13.5</v>
      </c>
      <c r="X14" s="47">
        <v>0</v>
      </c>
      <c r="Y14" s="42" t="str">
        <f t="shared" si="11"/>
        <v>0</v>
      </c>
      <c r="Z14" s="46">
        <v>0.1255</v>
      </c>
      <c r="AA14" s="42">
        <f t="shared" si="12"/>
        <v>13.5</v>
      </c>
      <c r="AB14" s="47">
        <v>0</v>
      </c>
      <c r="AC14" s="42" t="str">
        <f t="shared" si="13"/>
        <v>0</v>
      </c>
      <c r="AD14" s="48">
        <v>1.1664600000000001</v>
      </c>
      <c r="AE14" s="40">
        <f t="shared" si="14"/>
        <v>4.5</v>
      </c>
      <c r="AF14" s="47">
        <v>0</v>
      </c>
      <c r="AG14" s="42" t="str">
        <f t="shared" si="15"/>
        <v>0</v>
      </c>
      <c r="AH14" s="46">
        <v>0.20734014402173173</v>
      </c>
      <c r="AI14" s="40">
        <f t="shared" si="16"/>
        <v>9</v>
      </c>
      <c r="AJ14" s="39">
        <v>1</v>
      </c>
      <c r="AK14" s="39">
        <f t="shared" si="17"/>
        <v>1</v>
      </c>
      <c r="AL14" s="38">
        <f t="shared" si="18"/>
        <v>86.625</v>
      </c>
    </row>
    <row r="15" spans="1:38">
      <c r="A15" s="45" t="s">
        <v>234</v>
      </c>
      <c r="B15" s="44">
        <v>6.3</v>
      </c>
      <c r="C15" s="43">
        <f t="shared" si="0"/>
        <v>13.5</v>
      </c>
      <c r="D15" s="39">
        <v>0</v>
      </c>
      <c r="E15" s="39" t="str">
        <f t="shared" si="1"/>
        <v>0</v>
      </c>
      <c r="F15" s="49">
        <v>9.8000000000000007</v>
      </c>
      <c r="G15" s="43">
        <f t="shared" si="2"/>
        <v>10.125</v>
      </c>
      <c r="H15" s="39">
        <v>0</v>
      </c>
      <c r="I15" s="39" t="str">
        <f t="shared" si="3"/>
        <v>0</v>
      </c>
      <c r="J15" s="46">
        <v>3.9300000000000002E-2</v>
      </c>
      <c r="K15" s="40">
        <f t="shared" si="4"/>
        <v>2.5</v>
      </c>
      <c r="L15" s="46">
        <v>3.0499999999999999E-2</v>
      </c>
      <c r="M15" s="42">
        <f t="shared" si="5"/>
        <v>2.5</v>
      </c>
      <c r="N15" s="43">
        <v>32.93</v>
      </c>
      <c r="O15" s="40">
        <f t="shared" si="6"/>
        <v>4.5</v>
      </c>
      <c r="P15" s="43">
        <v>0</v>
      </c>
      <c r="Q15" s="43" t="str">
        <f t="shared" si="7"/>
        <v>0</v>
      </c>
      <c r="R15" s="46">
        <v>4.4400000000000002E-2</v>
      </c>
      <c r="S15" s="42">
        <f t="shared" si="8"/>
        <v>4.5</v>
      </c>
      <c r="T15" s="47">
        <v>0</v>
      </c>
      <c r="U15" s="42" t="str">
        <f t="shared" si="9"/>
        <v>0</v>
      </c>
      <c r="V15" s="46">
        <v>3.0300000000000001E-2</v>
      </c>
      <c r="W15" s="42">
        <f t="shared" si="10"/>
        <v>10.125</v>
      </c>
      <c r="X15" s="47">
        <v>0</v>
      </c>
      <c r="Y15" s="42" t="str">
        <f t="shared" si="11"/>
        <v>0</v>
      </c>
      <c r="Z15" s="46">
        <v>2.8400000000000002E-2</v>
      </c>
      <c r="AA15" s="42">
        <f t="shared" si="12"/>
        <v>10.125</v>
      </c>
      <c r="AB15" s="47">
        <v>0</v>
      </c>
      <c r="AC15" s="42" t="str">
        <f t="shared" si="13"/>
        <v>0</v>
      </c>
      <c r="AD15" s="48">
        <v>1.03129</v>
      </c>
      <c r="AE15" s="40">
        <f t="shared" si="14"/>
        <v>2.25</v>
      </c>
      <c r="AF15" s="47">
        <v>0</v>
      </c>
      <c r="AG15" s="42" t="str">
        <f t="shared" si="15"/>
        <v>0</v>
      </c>
      <c r="AH15" s="46">
        <v>9.4061472308994615E-2</v>
      </c>
      <c r="AI15" s="40">
        <f t="shared" si="16"/>
        <v>6.75</v>
      </c>
      <c r="AJ15" s="39">
        <v>0</v>
      </c>
      <c r="AK15" s="39" t="str">
        <f t="shared" si="17"/>
        <v>0</v>
      </c>
      <c r="AL15" s="38">
        <f t="shared" si="18"/>
        <v>66.875</v>
      </c>
    </row>
    <row r="16" spans="1:38">
      <c r="A16" s="45" t="s">
        <v>233</v>
      </c>
      <c r="B16" s="44">
        <v>5.2</v>
      </c>
      <c r="C16" s="43">
        <f t="shared" si="0"/>
        <v>10.125</v>
      </c>
      <c r="D16" s="39">
        <v>0</v>
      </c>
      <c r="E16" s="39" t="str">
        <f t="shared" si="1"/>
        <v>0</v>
      </c>
      <c r="F16" s="38">
        <v>7.1</v>
      </c>
      <c r="G16" s="43">
        <f t="shared" si="2"/>
        <v>10.125</v>
      </c>
      <c r="H16" s="39">
        <v>0</v>
      </c>
      <c r="I16" s="39" t="str">
        <f t="shared" si="3"/>
        <v>0</v>
      </c>
      <c r="J16" s="41">
        <v>-7.7999999999999996E-3</v>
      </c>
      <c r="K16" s="40">
        <f t="shared" si="4"/>
        <v>1.25</v>
      </c>
      <c r="L16" s="41">
        <v>-0.38319999999999999</v>
      </c>
      <c r="M16" s="42">
        <f t="shared" si="5"/>
        <v>2.5</v>
      </c>
      <c r="N16" s="39">
        <v>68.91</v>
      </c>
      <c r="O16" s="40">
        <f t="shared" si="6"/>
        <v>2.25</v>
      </c>
      <c r="P16" s="39">
        <v>0</v>
      </c>
      <c r="Q16" s="43" t="str">
        <f t="shared" si="7"/>
        <v>0</v>
      </c>
      <c r="R16" s="41">
        <v>7.9899999999999999E-2</v>
      </c>
      <c r="S16" s="42">
        <f t="shared" si="8"/>
        <v>6.75</v>
      </c>
      <c r="T16" s="39">
        <v>0</v>
      </c>
      <c r="U16" s="42" t="str">
        <f t="shared" si="9"/>
        <v>0</v>
      </c>
      <c r="V16" s="41">
        <v>4.8899999999999999E-2</v>
      </c>
      <c r="W16" s="42">
        <f t="shared" si="10"/>
        <v>10.125</v>
      </c>
      <c r="X16" s="39">
        <v>0</v>
      </c>
      <c r="Y16" s="42" t="str">
        <f t="shared" si="11"/>
        <v>0</v>
      </c>
      <c r="Z16" s="41">
        <v>4.2099999999999999E-2</v>
      </c>
      <c r="AA16" s="42">
        <f t="shared" si="12"/>
        <v>10.125</v>
      </c>
      <c r="AB16" s="39">
        <v>0</v>
      </c>
      <c r="AC16" s="42" t="str">
        <f t="shared" si="13"/>
        <v>0</v>
      </c>
      <c r="AD16" s="39">
        <v>1.0513999999999999</v>
      </c>
      <c r="AE16" s="40">
        <f t="shared" si="14"/>
        <v>3.375</v>
      </c>
      <c r="AF16" s="39">
        <v>0</v>
      </c>
      <c r="AG16" s="42" t="str">
        <f t="shared" si="15"/>
        <v>0</v>
      </c>
      <c r="AH16" s="41">
        <v>7.2099999999999997E-2</v>
      </c>
      <c r="AI16" s="40">
        <f t="shared" si="16"/>
        <v>6.75</v>
      </c>
      <c r="AJ16" s="39">
        <v>0</v>
      </c>
      <c r="AK16" s="39" t="str">
        <f t="shared" si="17"/>
        <v>0</v>
      </c>
      <c r="AL16" s="38">
        <f t="shared" si="18"/>
        <v>63.375</v>
      </c>
    </row>
    <row r="17" spans="1:38">
      <c r="A17" s="45" t="s">
        <v>232</v>
      </c>
      <c r="B17" s="44">
        <v>2.9</v>
      </c>
      <c r="C17" s="43">
        <f t="shared" si="0"/>
        <v>10.125</v>
      </c>
      <c r="D17" s="39">
        <v>0</v>
      </c>
      <c r="E17" s="39" t="str">
        <f t="shared" si="1"/>
        <v>0</v>
      </c>
      <c r="F17" s="38">
        <v>3.3</v>
      </c>
      <c r="G17" s="43">
        <f t="shared" si="2"/>
        <v>6.75</v>
      </c>
      <c r="H17" s="39">
        <v>0</v>
      </c>
      <c r="I17" s="39" t="str">
        <f t="shared" si="3"/>
        <v>0</v>
      </c>
      <c r="J17" s="41">
        <v>2.6800000000000001E-2</v>
      </c>
      <c r="K17" s="40">
        <f t="shared" si="4"/>
        <v>2.5</v>
      </c>
      <c r="L17" s="41">
        <v>-0.18210000000000001</v>
      </c>
      <c r="M17" s="42">
        <f t="shared" si="5"/>
        <v>2.5</v>
      </c>
      <c r="N17" s="39">
        <v>55.41</v>
      </c>
      <c r="O17" s="40">
        <f t="shared" si="6"/>
        <v>3.375</v>
      </c>
      <c r="P17" s="39">
        <v>0</v>
      </c>
      <c r="Q17" s="43" t="str">
        <f t="shared" si="7"/>
        <v>0</v>
      </c>
      <c r="R17" s="41">
        <v>5.7200000000000001E-2</v>
      </c>
      <c r="S17" s="42">
        <f t="shared" si="8"/>
        <v>6.75</v>
      </c>
      <c r="T17" s="39">
        <v>0</v>
      </c>
      <c r="U17" s="42" t="str">
        <f t="shared" si="9"/>
        <v>0</v>
      </c>
      <c r="V17" s="41">
        <v>3.9199999999999999E-2</v>
      </c>
      <c r="W17" s="42">
        <f t="shared" si="10"/>
        <v>10.125</v>
      </c>
      <c r="X17" s="39">
        <v>0</v>
      </c>
      <c r="Y17" s="42" t="str">
        <f t="shared" si="11"/>
        <v>0</v>
      </c>
      <c r="Z17" s="41">
        <v>2.93E-2</v>
      </c>
      <c r="AA17" s="42">
        <f t="shared" si="12"/>
        <v>10.125</v>
      </c>
      <c r="AB17" s="39">
        <v>0</v>
      </c>
      <c r="AC17" s="42" t="str">
        <f t="shared" si="13"/>
        <v>0</v>
      </c>
      <c r="AD17" s="39">
        <v>1.0407999999999999</v>
      </c>
      <c r="AE17" s="40">
        <f t="shared" si="14"/>
        <v>3.375</v>
      </c>
      <c r="AF17" s="39">
        <v>0</v>
      </c>
      <c r="AG17" s="42" t="str">
        <f t="shared" si="15"/>
        <v>0</v>
      </c>
      <c r="AH17" s="41">
        <v>3.9899999999999998E-2</v>
      </c>
      <c r="AI17" s="40">
        <f t="shared" si="16"/>
        <v>4.5</v>
      </c>
      <c r="AJ17" s="39">
        <v>0</v>
      </c>
      <c r="AK17" s="39" t="str">
        <f t="shared" si="17"/>
        <v>0</v>
      </c>
      <c r="AL17" s="38">
        <f t="shared" si="18"/>
        <v>60.125</v>
      </c>
    </row>
    <row r="18" spans="1:38">
      <c r="A18" s="45" t="s">
        <v>231</v>
      </c>
      <c r="B18" s="44">
        <v>4</v>
      </c>
      <c r="C18" s="43">
        <f t="shared" si="0"/>
        <v>10.125</v>
      </c>
      <c r="D18" s="39">
        <v>1</v>
      </c>
      <c r="E18" s="39">
        <f t="shared" si="1"/>
        <v>1.5</v>
      </c>
      <c r="F18" s="38">
        <v>6.2</v>
      </c>
      <c r="G18" s="43">
        <f t="shared" si="2"/>
        <v>10.125</v>
      </c>
      <c r="H18" s="39">
        <v>1</v>
      </c>
      <c r="I18" s="39">
        <f t="shared" si="3"/>
        <v>1.5</v>
      </c>
      <c r="J18" s="41">
        <v>9.6100000000000005E-2</v>
      </c>
      <c r="K18" s="40">
        <f t="shared" si="4"/>
        <v>5</v>
      </c>
      <c r="L18" s="41">
        <v>0.1239</v>
      </c>
      <c r="M18" s="42">
        <f t="shared" si="5"/>
        <v>3.75</v>
      </c>
      <c r="N18" s="39">
        <v>59.26</v>
      </c>
      <c r="O18" s="40">
        <f t="shared" si="6"/>
        <v>3.375</v>
      </c>
      <c r="P18" s="39">
        <v>1</v>
      </c>
      <c r="Q18" s="43">
        <f t="shared" si="7"/>
        <v>0.5</v>
      </c>
      <c r="R18" s="41">
        <v>3.61E-2</v>
      </c>
      <c r="S18" s="42">
        <f t="shared" si="8"/>
        <v>4.5</v>
      </c>
      <c r="T18" s="39">
        <v>1</v>
      </c>
      <c r="U18" s="42">
        <f t="shared" si="9"/>
        <v>1</v>
      </c>
      <c r="V18" s="41">
        <v>1.2800000000000001E-2</v>
      </c>
      <c r="W18" s="42">
        <f t="shared" si="10"/>
        <v>6.75</v>
      </c>
      <c r="X18" s="39">
        <v>0</v>
      </c>
      <c r="Y18" s="42" t="str">
        <f t="shared" si="11"/>
        <v>0</v>
      </c>
      <c r="Z18" s="41">
        <v>9.4999999999999998E-3</v>
      </c>
      <c r="AA18" s="42">
        <f t="shared" si="12"/>
        <v>10.125</v>
      </c>
      <c r="AB18" s="39">
        <v>1</v>
      </c>
      <c r="AC18" s="42">
        <f t="shared" si="13"/>
        <v>1.5</v>
      </c>
      <c r="AD18" s="39">
        <v>1.0128999999999999</v>
      </c>
      <c r="AE18" s="40">
        <f t="shared" si="14"/>
        <v>2.25</v>
      </c>
      <c r="AF18" s="39">
        <v>0</v>
      </c>
      <c r="AG18" s="42" t="str">
        <f t="shared" si="15"/>
        <v>0</v>
      </c>
      <c r="AH18" s="41">
        <v>6.7000000000000004E-2</v>
      </c>
      <c r="AI18" s="40">
        <f t="shared" si="16"/>
        <v>6.75</v>
      </c>
      <c r="AJ18" s="39">
        <v>0</v>
      </c>
      <c r="AK18" s="39" t="str">
        <f t="shared" si="17"/>
        <v>0</v>
      </c>
      <c r="AL18" s="38">
        <f t="shared" si="18"/>
        <v>68.75</v>
      </c>
    </row>
    <row r="19" spans="1:38">
      <c r="A19" s="45" t="s">
        <v>230</v>
      </c>
      <c r="B19" s="44">
        <v>3.8</v>
      </c>
      <c r="C19" s="43">
        <f t="shared" si="0"/>
        <v>10.125</v>
      </c>
      <c r="D19" s="39">
        <v>1</v>
      </c>
      <c r="E19" s="39">
        <f t="shared" si="1"/>
        <v>1.5</v>
      </c>
      <c r="F19" s="38">
        <v>0.6</v>
      </c>
      <c r="G19" s="43">
        <f t="shared" si="2"/>
        <v>6.75</v>
      </c>
      <c r="H19" s="39">
        <v>0</v>
      </c>
      <c r="I19" s="39" t="str">
        <f t="shared" si="3"/>
        <v>0</v>
      </c>
      <c r="J19" s="41">
        <v>0.16250000000000001</v>
      </c>
      <c r="K19" s="40">
        <f t="shared" si="4"/>
        <v>5</v>
      </c>
      <c r="L19" s="41">
        <v>-0.61519999999999997</v>
      </c>
      <c r="M19" s="42">
        <f t="shared" si="5"/>
        <v>1.25</v>
      </c>
      <c r="N19" s="39">
        <v>46.68</v>
      </c>
      <c r="O19" s="40">
        <f t="shared" si="6"/>
        <v>3.375</v>
      </c>
      <c r="P19" s="39">
        <v>1</v>
      </c>
      <c r="Q19" s="43">
        <f t="shared" si="7"/>
        <v>0.5</v>
      </c>
      <c r="R19" s="41">
        <v>6.1699999999999998E-2</v>
      </c>
      <c r="S19" s="42">
        <f t="shared" si="8"/>
        <v>6.75</v>
      </c>
      <c r="T19" s="39">
        <v>1</v>
      </c>
      <c r="U19" s="42">
        <f t="shared" si="9"/>
        <v>1</v>
      </c>
      <c r="V19" s="41">
        <v>3.4200000000000001E-2</v>
      </c>
      <c r="W19" s="42">
        <f t="shared" si="10"/>
        <v>10.125</v>
      </c>
      <c r="X19" s="39">
        <v>0</v>
      </c>
      <c r="Y19" s="42" t="str">
        <f t="shared" si="11"/>
        <v>0</v>
      </c>
      <c r="Z19" s="41">
        <v>1.4E-3</v>
      </c>
      <c r="AA19" s="42">
        <f t="shared" si="12"/>
        <v>6.75</v>
      </c>
      <c r="AB19" s="39">
        <v>0</v>
      </c>
      <c r="AC19" s="42" t="str">
        <f t="shared" si="13"/>
        <v>0</v>
      </c>
      <c r="AD19" s="39">
        <v>1.0354000000000001</v>
      </c>
      <c r="AE19" s="40">
        <f t="shared" si="14"/>
        <v>2.25</v>
      </c>
      <c r="AF19" s="39">
        <v>0</v>
      </c>
      <c r="AG19" s="42" t="str">
        <f t="shared" si="15"/>
        <v>0</v>
      </c>
      <c r="AH19" s="41">
        <v>0.1147</v>
      </c>
      <c r="AI19" s="40">
        <f t="shared" si="16"/>
        <v>9</v>
      </c>
      <c r="AJ19" s="39">
        <v>1</v>
      </c>
      <c r="AK19" s="39">
        <f t="shared" si="17"/>
        <v>1</v>
      </c>
      <c r="AL19" s="38">
        <f t="shared" si="18"/>
        <v>65.375</v>
      </c>
    </row>
    <row r="20" spans="1:38">
      <c r="A20" s="45" t="s">
        <v>229</v>
      </c>
      <c r="B20" s="44">
        <v>2.8</v>
      </c>
      <c r="C20" s="43">
        <f t="shared" si="0"/>
        <v>10.125</v>
      </c>
      <c r="D20" s="39">
        <v>1</v>
      </c>
      <c r="E20" s="39">
        <f t="shared" si="1"/>
        <v>1.5</v>
      </c>
      <c r="F20" s="38">
        <v>4.8</v>
      </c>
      <c r="G20" s="43">
        <f t="shared" si="2"/>
        <v>6.75</v>
      </c>
      <c r="H20" s="39">
        <v>1</v>
      </c>
      <c r="I20" s="39">
        <f t="shared" si="3"/>
        <v>1.5</v>
      </c>
      <c r="J20" s="41">
        <v>3.09E-2</v>
      </c>
      <c r="K20" s="40">
        <f t="shared" si="4"/>
        <v>2.5</v>
      </c>
      <c r="L20" s="41">
        <v>1.8956</v>
      </c>
      <c r="M20" s="42">
        <f t="shared" si="5"/>
        <v>5</v>
      </c>
      <c r="N20" s="39">
        <v>-2.1</v>
      </c>
      <c r="O20" s="40">
        <f t="shared" si="6"/>
        <v>4.5</v>
      </c>
      <c r="P20" s="39">
        <v>1</v>
      </c>
      <c r="Q20" s="43">
        <f t="shared" si="7"/>
        <v>0.5</v>
      </c>
      <c r="R20" s="41">
        <v>5.4399999999999997E-2</v>
      </c>
      <c r="S20" s="42">
        <f t="shared" si="8"/>
        <v>4.5</v>
      </c>
      <c r="T20" s="39">
        <v>1</v>
      </c>
      <c r="U20" s="42">
        <f t="shared" si="9"/>
        <v>1</v>
      </c>
      <c r="V20" s="41">
        <v>1.9599999999999999E-2</v>
      </c>
      <c r="W20" s="42">
        <f t="shared" si="10"/>
        <v>6.75</v>
      </c>
      <c r="X20" s="39">
        <v>1</v>
      </c>
      <c r="Y20" s="42">
        <f t="shared" si="11"/>
        <v>1.5</v>
      </c>
      <c r="Z20" s="41">
        <v>1.6899999999999998E-2</v>
      </c>
      <c r="AA20" s="42">
        <f t="shared" si="12"/>
        <v>10.125</v>
      </c>
      <c r="AB20" s="39">
        <v>1</v>
      </c>
      <c r="AC20" s="42">
        <f t="shared" si="13"/>
        <v>1.5</v>
      </c>
      <c r="AD20" s="39">
        <v>1.02</v>
      </c>
      <c r="AE20" s="40">
        <f t="shared" si="14"/>
        <v>2.25</v>
      </c>
      <c r="AF20" s="39">
        <v>1</v>
      </c>
      <c r="AG20" s="42">
        <f t="shared" si="15"/>
        <v>0.5</v>
      </c>
      <c r="AH20" s="41">
        <v>4.87E-2</v>
      </c>
      <c r="AI20" s="40">
        <f t="shared" si="16"/>
        <v>4.5</v>
      </c>
      <c r="AJ20" s="39">
        <v>1</v>
      </c>
      <c r="AK20" s="39">
        <f t="shared" si="17"/>
        <v>1</v>
      </c>
      <c r="AL20" s="38">
        <f t="shared" si="18"/>
        <v>66</v>
      </c>
    </row>
    <row r="21" spans="1:38">
      <c r="A21" s="45" t="s">
        <v>228</v>
      </c>
      <c r="B21" s="44">
        <v>-6.8</v>
      </c>
      <c r="C21" s="43">
        <f t="shared" si="0"/>
        <v>3.375</v>
      </c>
      <c r="D21" s="39">
        <v>0</v>
      </c>
      <c r="E21" s="39" t="str">
        <f t="shared" si="1"/>
        <v>0</v>
      </c>
      <c r="F21" s="38">
        <v>-22</v>
      </c>
      <c r="G21" s="43">
        <f t="shared" si="2"/>
        <v>3.375</v>
      </c>
      <c r="H21" s="39">
        <v>0</v>
      </c>
      <c r="I21" s="39" t="str">
        <f t="shared" si="3"/>
        <v>0</v>
      </c>
      <c r="J21" s="41">
        <v>-1.0699999999999999E-2</v>
      </c>
      <c r="K21" s="40">
        <f t="shared" si="4"/>
        <v>1.25</v>
      </c>
      <c r="L21" s="41">
        <v>-17.189699999999998</v>
      </c>
      <c r="M21" s="42">
        <f t="shared" si="5"/>
        <v>1.25</v>
      </c>
      <c r="N21" s="39">
        <v>40.74</v>
      </c>
      <c r="O21" s="40">
        <f t="shared" si="6"/>
        <v>3.375</v>
      </c>
      <c r="P21" s="39">
        <v>1</v>
      </c>
      <c r="Q21" s="43">
        <f t="shared" si="7"/>
        <v>0.5</v>
      </c>
      <c r="R21" s="41">
        <v>-1.43E-2</v>
      </c>
      <c r="S21" s="42">
        <f t="shared" si="8"/>
        <v>4.5</v>
      </c>
      <c r="T21" s="39">
        <v>0</v>
      </c>
      <c r="U21" s="42" t="str">
        <f t="shared" si="9"/>
        <v>0</v>
      </c>
      <c r="V21" s="41">
        <v>-4.5600000000000002E-2</v>
      </c>
      <c r="W21" s="42">
        <f t="shared" si="10"/>
        <v>6.75</v>
      </c>
      <c r="X21" s="39">
        <v>0</v>
      </c>
      <c r="Y21" s="42" t="str">
        <f t="shared" si="11"/>
        <v>0</v>
      </c>
      <c r="Z21" s="41">
        <v>-5.3800000000000001E-2</v>
      </c>
      <c r="AA21" s="42">
        <f t="shared" si="12"/>
        <v>6.75</v>
      </c>
      <c r="AB21" s="39">
        <v>0</v>
      </c>
      <c r="AC21" s="42" t="str">
        <f t="shared" si="13"/>
        <v>0</v>
      </c>
      <c r="AD21" s="39">
        <v>0.94899999999999995</v>
      </c>
      <c r="AE21" s="40">
        <f t="shared" si="14"/>
        <v>1.125</v>
      </c>
      <c r="AF21" s="39">
        <v>0</v>
      </c>
      <c r="AG21" s="42" t="str">
        <f t="shared" si="15"/>
        <v>0</v>
      </c>
      <c r="AH21" s="41">
        <v>-0.15820000000000001</v>
      </c>
      <c r="AI21" s="40">
        <f t="shared" si="16"/>
        <v>2.25</v>
      </c>
      <c r="AJ21" s="39">
        <v>0</v>
      </c>
      <c r="AK21" s="39" t="str">
        <f t="shared" si="17"/>
        <v>0</v>
      </c>
      <c r="AL21" s="38">
        <f t="shared" si="18"/>
        <v>34.5</v>
      </c>
    </row>
    <row r="22" spans="1:38">
      <c r="A22" s="45" t="s">
        <v>227</v>
      </c>
      <c r="B22" s="44">
        <v>2.1</v>
      </c>
      <c r="C22" s="43">
        <f t="shared" si="0"/>
        <v>10.125</v>
      </c>
      <c r="D22" s="39">
        <v>1</v>
      </c>
      <c r="E22" s="39">
        <f t="shared" si="1"/>
        <v>1.5</v>
      </c>
      <c r="F22" s="38">
        <v>1.5</v>
      </c>
      <c r="G22" s="43">
        <f t="shared" si="2"/>
        <v>6.75</v>
      </c>
      <c r="H22" s="39">
        <v>1</v>
      </c>
      <c r="I22" s="39">
        <f t="shared" si="3"/>
        <v>1.5</v>
      </c>
      <c r="J22" s="41">
        <v>4.0899999999999999E-2</v>
      </c>
      <c r="K22" s="40">
        <f t="shared" si="4"/>
        <v>3.75</v>
      </c>
      <c r="L22" s="41">
        <v>1.0882000000000001</v>
      </c>
      <c r="M22" s="42">
        <f t="shared" si="5"/>
        <v>5</v>
      </c>
      <c r="N22" s="39">
        <v>74.84</v>
      </c>
      <c r="O22" s="40">
        <f t="shared" si="6"/>
        <v>1.125</v>
      </c>
      <c r="P22" s="39">
        <v>0</v>
      </c>
      <c r="Q22" s="43" t="str">
        <f t="shared" si="7"/>
        <v>0</v>
      </c>
      <c r="R22" s="41">
        <v>3.4599999999999999E-2</v>
      </c>
      <c r="S22" s="42">
        <f t="shared" si="8"/>
        <v>4.5</v>
      </c>
      <c r="T22" s="39">
        <v>1</v>
      </c>
      <c r="U22" s="42">
        <f t="shared" si="9"/>
        <v>1</v>
      </c>
      <c r="V22" s="41">
        <v>8.9999999999999993E-3</v>
      </c>
      <c r="W22" s="42">
        <f t="shared" si="10"/>
        <v>6.75</v>
      </c>
      <c r="X22" s="39">
        <v>1</v>
      </c>
      <c r="Y22" s="42">
        <f t="shared" si="11"/>
        <v>1.5</v>
      </c>
      <c r="Z22" s="41">
        <v>1.9E-3</v>
      </c>
      <c r="AA22" s="42">
        <f t="shared" si="12"/>
        <v>6.75</v>
      </c>
      <c r="AB22" s="39">
        <v>1</v>
      </c>
      <c r="AC22" s="42">
        <f t="shared" si="13"/>
        <v>1.5</v>
      </c>
      <c r="AD22" s="39">
        <v>1.0091000000000001</v>
      </c>
      <c r="AE22" s="40">
        <f t="shared" si="14"/>
        <v>1.125</v>
      </c>
      <c r="AF22" s="39">
        <v>1</v>
      </c>
      <c r="AG22" s="42">
        <f t="shared" si="15"/>
        <v>0.5</v>
      </c>
      <c r="AH22" s="41">
        <v>5.2499999999999998E-2</v>
      </c>
      <c r="AI22" s="40">
        <f t="shared" si="16"/>
        <v>4.5</v>
      </c>
      <c r="AJ22" s="39">
        <v>1</v>
      </c>
      <c r="AK22" s="39">
        <f t="shared" si="17"/>
        <v>1</v>
      </c>
      <c r="AL22" s="38">
        <f t="shared" si="18"/>
        <v>58.875</v>
      </c>
    </row>
    <row r="23" spans="1:38">
      <c r="A23" s="45" t="s">
        <v>226</v>
      </c>
      <c r="B23" s="44">
        <v>9.1</v>
      </c>
      <c r="C23" s="43">
        <f t="shared" si="0"/>
        <v>13.5</v>
      </c>
      <c r="D23" s="39">
        <v>1</v>
      </c>
      <c r="E23" s="39">
        <f t="shared" si="1"/>
        <v>1.5</v>
      </c>
      <c r="F23" s="38">
        <v>11.4</v>
      </c>
      <c r="G23" s="43">
        <f t="shared" si="2"/>
        <v>10.125</v>
      </c>
      <c r="H23" s="39">
        <v>1</v>
      </c>
      <c r="I23" s="39">
        <f t="shared" si="3"/>
        <v>1.5</v>
      </c>
      <c r="J23" s="41">
        <v>0.2477</v>
      </c>
      <c r="K23" s="40">
        <f t="shared" si="4"/>
        <v>5</v>
      </c>
      <c r="L23" s="41">
        <v>0.66349999999999998</v>
      </c>
      <c r="M23" s="42">
        <f t="shared" si="5"/>
        <v>5</v>
      </c>
      <c r="N23" s="39">
        <v>33.97</v>
      </c>
      <c r="O23" s="40">
        <f t="shared" si="6"/>
        <v>3.375</v>
      </c>
      <c r="P23" s="39">
        <v>0</v>
      </c>
      <c r="Q23" s="43" t="str">
        <f t="shared" si="7"/>
        <v>0</v>
      </c>
      <c r="R23" s="41">
        <v>9.0999999999999998E-2</v>
      </c>
      <c r="S23" s="42">
        <f t="shared" si="8"/>
        <v>6.75</v>
      </c>
      <c r="T23" s="39">
        <v>1</v>
      </c>
      <c r="U23" s="42">
        <f t="shared" si="9"/>
        <v>1</v>
      </c>
      <c r="V23" s="41">
        <v>9.2999999999999999E-2</v>
      </c>
      <c r="W23" s="42">
        <f t="shared" si="10"/>
        <v>13.5</v>
      </c>
      <c r="X23" s="39">
        <v>1</v>
      </c>
      <c r="Y23" s="42">
        <f t="shared" si="11"/>
        <v>1.5</v>
      </c>
      <c r="Z23" s="41">
        <v>7.3999999999999996E-2</v>
      </c>
      <c r="AA23" s="42">
        <f t="shared" si="12"/>
        <v>13.5</v>
      </c>
      <c r="AB23" s="39">
        <v>1</v>
      </c>
      <c r="AC23" s="42">
        <f t="shared" si="13"/>
        <v>1.5</v>
      </c>
      <c r="AD23" s="39">
        <v>1.1025</v>
      </c>
      <c r="AE23" s="40">
        <f t="shared" si="14"/>
        <v>4.5</v>
      </c>
      <c r="AF23" s="39">
        <v>1</v>
      </c>
      <c r="AG23" s="42">
        <f t="shared" si="15"/>
        <v>0.5</v>
      </c>
      <c r="AH23" s="41">
        <v>6.6799999999999998E-2</v>
      </c>
      <c r="AI23" s="40">
        <f t="shared" si="16"/>
        <v>4.5</v>
      </c>
      <c r="AJ23" s="39">
        <v>0</v>
      </c>
      <c r="AK23" s="39" t="str">
        <f t="shared" si="17"/>
        <v>0</v>
      </c>
      <c r="AL23" s="38">
        <f t="shared" si="18"/>
        <v>87.25</v>
      </c>
    </row>
    <row r="24" spans="1:38">
      <c r="R24" s="19"/>
    </row>
    <row r="25" spans="1:38" ht="18.75">
      <c r="A25" s="17" t="s">
        <v>60</v>
      </c>
      <c r="B25" s="17" t="s">
        <v>59</v>
      </c>
      <c r="C25" s="17"/>
      <c r="D25" s="17"/>
      <c r="E25" s="17"/>
      <c r="F25" s="17" t="s">
        <v>58</v>
      </c>
      <c r="G25" s="17"/>
      <c r="H25" s="16"/>
      <c r="I25" s="16"/>
      <c r="J25" s="16"/>
      <c r="K25" s="16"/>
      <c r="L25" s="16" t="s">
        <v>57</v>
      </c>
      <c r="M25" s="16"/>
      <c r="R25" s="19"/>
    </row>
    <row r="26" spans="1:38" ht="17.25">
      <c r="A26" s="11" t="s">
        <v>56</v>
      </c>
      <c r="B26" s="9">
        <v>13.5</v>
      </c>
      <c r="C26" s="9"/>
      <c r="D26" s="10"/>
      <c r="E26" s="10"/>
      <c r="F26" s="9">
        <f>L26*0.1</f>
        <v>1.5</v>
      </c>
      <c r="G26" s="9"/>
      <c r="H26" s="8"/>
      <c r="I26" s="8"/>
      <c r="J26" s="8"/>
      <c r="K26" s="8"/>
      <c r="L26" s="9">
        <v>15</v>
      </c>
      <c r="M26" s="9"/>
      <c r="O26" s="14"/>
      <c r="P26" s="14"/>
      <c r="Q26" s="14"/>
      <c r="R26" s="19"/>
    </row>
    <row r="27" spans="1:38">
      <c r="A27" t="s">
        <v>225</v>
      </c>
      <c r="B27" s="3">
        <f>B26*0.25</f>
        <v>3.375</v>
      </c>
      <c r="C27" s="3"/>
      <c r="D27" s="3"/>
      <c r="E27" s="3"/>
      <c r="F27" s="3" t="s">
        <v>7</v>
      </c>
      <c r="G27" s="3"/>
      <c r="H27">
        <v>1.5</v>
      </c>
      <c r="O27" s="14"/>
      <c r="P27" s="14"/>
      <c r="Q27" s="14"/>
      <c r="R27" s="19"/>
    </row>
    <row r="28" spans="1:38">
      <c r="A28" t="s">
        <v>224</v>
      </c>
      <c r="B28" s="3">
        <f>B26*0.5</f>
        <v>6.75</v>
      </c>
      <c r="C28" s="3"/>
      <c r="D28" s="3"/>
      <c r="E28" s="3"/>
      <c r="F28" s="3" t="s">
        <v>4</v>
      </c>
      <c r="G28" s="3"/>
      <c r="H28">
        <v>0</v>
      </c>
      <c r="O28" s="14"/>
      <c r="P28" s="14"/>
      <c r="Q28" s="14"/>
      <c r="R28" s="19"/>
    </row>
    <row r="29" spans="1:38">
      <c r="A29" t="s">
        <v>223</v>
      </c>
      <c r="B29" s="3">
        <f>B26*0.75</f>
        <v>10.125</v>
      </c>
      <c r="C29" s="3"/>
      <c r="D29" s="3"/>
      <c r="E29" s="3"/>
      <c r="F29" s="3"/>
      <c r="G29" s="3"/>
      <c r="O29" s="14"/>
      <c r="R29" s="19"/>
    </row>
    <row r="30" spans="1:38">
      <c r="A30" t="s">
        <v>222</v>
      </c>
      <c r="B30" s="3">
        <f>B26*1</f>
        <v>13.5</v>
      </c>
      <c r="C30" s="3"/>
      <c r="D30" s="3"/>
      <c r="E30" s="3"/>
      <c r="F30" s="3"/>
      <c r="G30" s="3"/>
      <c r="O30" s="14"/>
      <c r="R30" s="19"/>
    </row>
    <row r="31" spans="1:38">
      <c r="B31" s="3"/>
      <c r="C31" s="3"/>
      <c r="D31" s="3"/>
      <c r="E31" s="3"/>
      <c r="F31" s="3"/>
      <c r="G31" s="3"/>
      <c r="O31" s="14"/>
      <c r="R31" s="19"/>
    </row>
    <row r="32" spans="1:38" ht="17.25">
      <c r="A32" s="11" t="s">
        <v>51</v>
      </c>
      <c r="B32" s="9">
        <v>13.5</v>
      </c>
      <c r="C32" s="3"/>
      <c r="D32" s="3"/>
      <c r="E32" s="3"/>
      <c r="F32" s="3"/>
      <c r="G32" s="3"/>
      <c r="O32" s="14"/>
      <c r="R32" s="19"/>
    </row>
    <row r="33" spans="1:18">
      <c r="A33" t="s">
        <v>50</v>
      </c>
      <c r="B33" s="3">
        <f>B32*0.25</f>
        <v>3.375</v>
      </c>
      <c r="C33" s="9"/>
      <c r="D33" s="10"/>
      <c r="E33" s="10"/>
      <c r="F33" s="9">
        <f>L33*0.1</f>
        <v>1.5</v>
      </c>
      <c r="G33" s="9"/>
      <c r="H33" s="8"/>
      <c r="I33" s="8"/>
      <c r="J33" s="8"/>
      <c r="K33" s="8"/>
      <c r="L33" s="9">
        <v>15</v>
      </c>
      <c r="M33" s="9"/>
      <c r="O33" s="14"/>
      <c r="R33" s="19"/>
    </row>
    <row r="34" spans="1:18">
      <c r="A34" t="s">
        <v>221</v>
      </c>
      <c r="B34" s="3">
        <f>B32*0.5</f>
        <v>6.75</v>
      </c>
      <c r="C34" s="3"/>
      <c r="D34" s="3"/>
      <c r="E34" s="3"/>
      <c r="F34" s="3" t="s">
        <v>7</v>
      </c>
      <c r="G34" s="3"/>
      <c r="H34">
        <v>1.5</v>
      </c>
      <c r="O34" s="14"/>
      <c r="R34" s="19"/>
    </row>
    <row r="35" spans="1:18">
      <c r="A35" t="s">
        <v>220</v>
      </c>
      <c r="B35" s="3">
        <f>B32*0.75</f>
        <v>10.125</v>
      </c>
      <c r="C35" s="3"/>
      <c r="D35" s="3"/>
      <c r="E35" s="3"/>
      <c r="F35" s="3" t="s">
        <v>4</v>
      </c>
      <c r="G35" s="3"/>
      <c r="H35">
        <v>0</v>
      </c>
      <c r="O35" s="14"/>
      <c r="R35" s="19"/>
    </row>
    <row r="36" spans="1:18">
      <c r="A36" t="s">
        <v>219</v>
      </c>
      <c r="B36" s="3">
        <f>B32*1</f>
        <v>13.5</v>
      </c>
      <c r="C36" s="3"/>
      <c r="D36" s="3"/>
      <c r="E36" s="3"/>
      <c r="F36" s="3"/>
      <c r="G36" s="3"/>
      <c r="O36" s="14"/>
    </row>
    <row r="37" spans="1:18">
      <c r="B37" s="3"/>
      <c r="C37" s="3"/>
      <c r="D37" s="3"/>
      <c r="E37" s="3"/>
      <c r="F37" s="3"/>
      <c r="G37" s="3"/>
    </row>
    <row r="38" spans="1:18">
      <c r="B38" s="3"/>
      <c r="C38" s="3"/>
      <c r="D38" s="3"/>
      <c r="E38" s="3"/>
      <c r="F38" s="3"/>
      <c r="G38" s="3"/>
    </row>
    <row r="39" spans="1:18" ht="17.25">
      <c r="A39" s="11" t="s">
        <v>46</v>
      </c>
      <c r="B39" s="9">
        <v>5</v>
      </c>
      <c r="C39" s="5"/>
      <c r="D39" s="3"/>
      <c r="E39" s="3"/>
      <c r="F39" s="3"/>
      <c r="G39" s="3"/>
      <c r="L39" s="2">
        <v>5</v>
      </c>
      <c r="M39" s="2"/>
    </row>
    <row r="40" spans="1:18">
      <c r="A40" t="s">
        <v>218</v>
      </c>
      <c r="B40" s="3">
        <f>B39*0.25</f>
        <v>1.25</v>
      </c>
      <c r="C40" s="3"/>
      <c r="D40" s="4">
        <f>QUARTILE(J4:J23,1)</f>
        <v>3.6250000000000006E-3</v>
      </c>
      <c r="E40" s="3" t="s">
        <v>8</v>
      </c>
      <c r="F40" s="3"/>
      <c r="G40" s="3"/>
    </row>
    <row r="41" spans="1:18">
      <c r="A41" t="s">
        <v>217</v>
      </c>
      <c r="B41" s="3">
        <f>B39*0.5</f>
        <v>2.5</v>
      </c>
      <c r="C41" s="3"/>
      <c r="D41" s="4">
        <f>QUARTILE(J4:J23,2)</f>
        <v>3.9599999999999996E-2</v>
      </c>
      <c r="E41" s="3" t="s">
        <v>5</v>
      </c>
      <c r="F41" s="3"/>
      <c r="G41" s="3"/>
    </row>
    <row r="42" spans="1:18">
      <c r="A42" t="s">
        <v>216</v>
      </c>
      <c r="B42" s="3">
        <f>B39*0.75</f>
        <v>3.75</v>
      </c>
      <c r="C42" s="3"/>
      <c r="D42" s="4">
        <f>QUARTILE(J4:J23,3)</f>
        <v>7.8299999999999995E-2</v>
      </c>
      <c r="E42" s="3" t="s">
        <v>2</v>
      </c>
      <c r="F42" s="3"/>
      <c r="G42" s="3"/>
    </row>
    <row r="43" spans="1:18">
      <c r="A43" t="s">
        <v>215</v>
      </c>
      <c r="B43" s="3">
        <f>B39*1</f>
        <v>5</v>
      </c>
      <c r="C43" s="3"/>
      <c r="D43" s="3"/>
      <c r="E43" s="3"/>
      <c r="F43" s="3"/>
      <c r="G43" s="3"/>
    </row>
    <row r="44" spans="1:18">
      <c r="B44" s="3"/>
      <c r="C44" s="3"/>
      <c r="D44" s="3"/>
      <c r="E44" s="3"/>
      <c r="F44" s="3"/>
      <c r="G44" s="3"/>
    </row>
    <row r="45" spans="1:18" ht="17.25">
      <c r="A45" s="11" t="s">
        <v>41</v>
      </c>
      <c r="B45" s="9">
        <v>5</v>
      </c>
      <c r="C45" s="5"/>
      <c r="D45" s="3"/>
      <c r="E45" s="3"/>
      <c r="F45" s="3"/>
      <c r="G45" s="3"/>
      <c r="L45" s="2">
        <v>5</v>
      </c>
      <c r="M45" s="2"/>
    </row>
    <row r="46" spans="1:18">
      <c r="A46" t="s">
        <v>214</v>
      </c>
      <c r="B46" s="3">
        <f>B45*0.25</f>
        <v>1.25</v>
      </c>
      <c r="C46" s="3"/>
      <c r="D46" s="36">
        <f>QUARTILE(L4:L23,1)</f>
        <v>-0.3931</v>
      </c>
      <c r="E46" s="3" t="s">
        <v>8</v>
      </c>
      <c r="F46" s="3"/>
      <c r="G46" s="3"/>
    </row>
    <row r="47" spans="1:18">
      <c r="A47" t="s">
        <v>213</v>
      </c>
      <c r="B47" s="3">
        <f>B45*0.5</f>
        <v>2.5</v>
      </c>
      <c r="C47" s="3"/>
      <c r="D47" s="36">
        <f>QUARTILE(L4:L23,2)</f>
        <v>3.9400000000000004E-2</v>
      </c>
      <c r="E47" s="3" t="s">
        <v>5</v>
      </c>
      <c r="F47" s="3"/>
      <c r="G47" s="3"/>
    </row>
    <row r="48" spans="1:18">
      <c r="A48" t="s">
        <v>212</v>
      </c>
      <c r="B48" s="3">
        <f>B45*0.75</f>
        <v>3.75</v>
      </c>
      <c r="C48" s="3"/>
      <c r="D48" s="36">
        <f>QUARTILE(L4:L23,3)</f>
        <v>0.51397500000000007</v>
      </c>
      <c r="E48" s="3" t="s">
        <v>2</v>
      </c>
      <c r="F48" s="3"/>
      <c r="G48" s="3"/>
    </row>
    <row r="49" spans="1:13">
      <c r="A49" t="s">
        <v>211</v>
      </c>
      <c r="B49" s="3">
        <f>B45*1</f>
        <v>5</v>
      </c>
      <c r="C49" s="3"/>
      <c r="D49" s="3"/>
      <c r="E49" s="3"/>
      <c r="F49" s="3"/>
      <c r="G49" s="3"/>
    </row>
    <row r="50" spans="1:13">
      <c r="B50" s="3"/>
      <c r="C50" s="3"/>
      <c r="D50" s="3"/>
      <c r="E50" s="3"/>
      <c r="F50" s="3"/>
      <c r="G50" s="3"/>
    </row>
    <row r="51" spans="1:13" ht="34.5">
      <c r="A51" s="6" t="s">
        <v>36</v>
      </c>
      <c r="B51" s="9">
        <v>4.5</v>
      </c>
      <c r="C51" s="5"/>
      <c r="D51" s="5"/>
      <c r="E51" s="5"/>
      <c r="F51" s="5">
        <f>L51*0.1</f>
        <v>0.5</v>
      </c>
      <c r="G51" s="5"/>
      <c r="H51" s="7"/>
      <c r="I51" s="7"/>
      <c r="J51" s="7"/>
      <c r="K51" s="7"/>
      <c r="L51" s="5">
        <v>5</v>
      </c>
      <c r="M51" s="5"/>
    </row>
    <row r="52" spans="1:13">
      <c r="A52" t="s">
        <v>210</v>
      </c>
      <c r="B52" s="3">
        <f>B51*1</f>
        <v>4.5</v>
      </c>
      <c r="C52" s="3"/>
      <c r="D52" s="3">
        <f>QUARTILE(N4:N23,1)</f>
        <v>33.71</v>
      </c>
      <c r="E52" s="3" t="s">
        <v>8</v>
      </c>
      <c r="F52" s="3" t="s">
        <v>7</v>
      </c>
      <c r="G52" s="3"/>
      <c r="H52">
        <v>0.5</v>
      </c>
    </row>
    <row r="53" spans="1:13">
      <c r="A53" t="s">
        <v>209</v>
      </c>
      <c r="B53" s="3">
        <f>B51*0.75</f>
        <v>3.375</v>
      </c>
      <c r="C53" s="3"/>
      <c r="D53" s="3">
        <f>QUARTILE(N4:N23,2)</f>
        <v>60.43</v>
      </c>
      <c r="E53" s="3" t="s">
        <v>5</v>
      </c>
      <c r="F53" s="3" t="s">
        <v>4</v>
      </c>
      <c r="G53" s="3"/>
      <c r="H53">
        <v>0</v>
      </c>
    </row>
    <row r="54" spans="1:13">
      <c r="A54" t="s">
        <v>208</v>
      </c>
      <c r="B54" s="3">
        <f>B51*0.5</f>
        <v>2.25</v>
      </c>
      <c r="C54" s="3"/>
      <c r="D54" s="3">
        <f>QUARTILE(N4:N23,3)</f>
        <v>73.97</v>
      </c>
      <c r="E54" s="3" t="s">
        <v>2</v>
      </c>
      <c r="F54" s="3"/>
      <c r="G54" s="3"/>
    </row>
    <row r="55" spans="1:13">
      <c r="A55" t="s">
        <v>207</v>
      </c>
      <c r="B55" s="3">
        <f>B51*0.25</f>
        <v>1.125</v>
      </c>
      <c r="C55" s="3"/>
      <c r="D55" s="3"/>
      <c r="E55" s="3"/>
      <c r="F55" s="3"/>
      <c r="G55" s="3"/>
    </row>
    <row r="56" spans="1:13">
      <c r="B56" s="3"/>
      <c r="C56" s="3"/>
      <c r="D56" s="3"/>
      <c r="E56" s="3"/>
      <c r="F56" s="3"/>
      <c r="G56" s="3"/>
    </row>
    <row r="57" spans="1:13" ht="34.5">
      <c r="A57" s="6" t="s">
        <v>31</v>
      </c>
      <c r="B57" s="9">
        <v>9</v>
      </c>
      <c r="C57" s="5"/>
      <c r="D57" s="5"/>
      <c r="E57" s="5"/>
      <c r="F57" s="5">
        <f>L57*0.1</f>
        <v>1</v>
      </c>
      <c r="G57" s="5"/>
      <c r="H57" s="7"/>
      <c r="I57" s="7"/>
      <c r="J57" s="7"/>
      <c r="K57" s="7"/>
      <c r="L57" s="5">
        <v>10</v>
      </c>
      <c r="M57" s="5"/>
    </row>
    <row r="58" spans="1:13">
      <c r="A58" t="s">
        <v>206</v>
      </c>
      <c r="B58" s="3">
        <f>B57*0.25</f>
        <v>2.25</v>
      </c>
      <c r="C58" s="3"/>
      <c r="D58" s="3"/>
      <c r="E58" s="3"/>
      <c r="F58" s="3" t="s">
        <v>7</v>
      </c>
      <c r="G58" s="3"/>
      <c r="H58">
        <v>1</v>
      </c>
    </row>
    <row r="59" spans="1:13">
      <c r="A59" t="s">
        <v>205</v>
      </c>
      <c r="B59" s="3">
        <f>B57*0.5</f>
        <v>4.5</v>
      </c>
      <c r="C59" s="3"/>
      <c r="D59" s="3"/>
      <c r="E59" s="3"/>
      <c r="F59" s="3" t="s">
        <v>4</v>
      </c>
      <c r="G59" s="3"/>
      <c r="H59">
        <v>0</v>
      </c>
    </row>
    <row r="60" spans="1:13">
      <c r="A60" t="s">
        <v>204</v>
      </c>
      <c r="B60" s="3">
        <f>B57*0.75</f>
        <v>6.75</v>
      </c>
      <c r="C60" s="3"/>
      <c r="D60" s="3"/>
      <c r="E60" s="3"/>
      <c r="F60" s="3"/>
      <c r="G60" s="3"/>
    </row>
    <row r="61" spans="1:13">
      <c r="A61" t="s">
        <v>203</v>
      </c>
      <c r="B61" s="3">
        <f>B57*1</f>
        <v>9</v>
      </c>
      <c r="C61" s="3"/>
      <c r="D61" s="3"/>
      <c r="E61" s="3"/>
      <c r="F61" s="3"/>
      <c r="G61" s="3"/>
    </row>
    <row r="62" spans="1:13">
      <c r="B62" s="3"/>
      <c r="C62" s="3"/>
      <c r="D62" s="3"/>
      <c r="E62" s="3"/>
      <c r="F62" s="3"/>
      <c r="G62" s="3"/>
    </row>
    <row r="63" spans="1:13" ht="34.5">
      <c r="A63" s="6" t="s">
        <v>26</v>
      </c>
      <c r="B63" s="9">
        <v>13.5</v>
      </c>
      <c r="C63" s="5"/>
      <c r="D63" s="5"/>
      <c r="E63" s="5"/>
      <c r="F63" s="5">
        <f>L63*0.1</f>
        <v>1.5</v>
      </c>
      <c r="G63" s="5"/>
      <c r="H63" s="7"/>
      <c r="I63" s="7"/>
      <c r="J63" s="7"/>
      <c r="K63" s="7"/>
      <c r="L63" s="5">
        <v>15</v>
      </c>
      <c r="M63" s="5"/>
    </row>
    <row r="64" spans="1:13">
      <c r="A64" t="s">
        <v>202</v>
      </c>
      <c r="B64" s="3">
        <f>B63*0.25</f>
        <v>3.375</v>
      </c>
      <c r="C64" s="3"/>
      <c r="D64" s="3"/>
      <c r="E64" s="3"/>
      <c r="F64" s="3" t="s">
        <v>7</v>
      </c>
      <c r="G64" s="3"/>
      <c r="H64">
        <v>1.5</v>
      </c>
    </row>
    <row r="65" spans="1:17">
      <c r="A65" t="s">
        <v>201</v>
      </c>
      <c r="B65" s="3">
        <f>B63*0.5</f>
        <v>6.75</v>
      </c>
      <c r="C65" s="3"/>
      <c r="D65" s="3"/>
      <c r="E65" s="3"/>
      <c r="F65" s="3" t="s">
        <v>4</v>
      </c>
      <c r="G65" s="3"/>
      <c r="H65">
        <v>0</v>
      </c>
    </row>
    <row r="66" spans="1:17">
      <c r="A66" t="s">
        <v>200</v>
      </c>
      <c r="B66" s="3">
        <f>B63*0.75</f>
        <v>10.125</v>
      </c>
      <c r="C66" s="3"/>
      <c r="D66" s="3"/>
      <c r="E66" s="3"/>
      <c r="F66" s="3"/>
      <c r="G66" s="3"/>
    </row>
    <row r="67" spans="1:17">
      <c r="A67" t="s">
        <v>199</v>
      </c>
      <c r="B67" s="3">
        <f>B63*1</f>
        <v>13.5</v>
      </c>
      <c r="C67" s="3"/>
      <c r="D67" s="3"/>
      <c r="E67" s="3"/>
      <c r="F67" s="3"/>
      <c r="G67" s="3"/>
    </row>
    <row r="68" spans="1:17">
      <c r="B68" s="3"/>
      <c r="C68" s="3"/>
      <c r="D68" s="3"/>
      <c r="E68" s="3"/>
      <c r="F68" s="3"/>
      <c r="G68" s="3"/>
    </row>
    <row r="69" spans="1:17" ht="17.25">
      <c r="A69" s="6" t="s">
        <v>21</v>
      </c>
      <c r="B69" s="9">
        <v>13.5</v>
      </c>
      <c r="C69" s="5"/>
      <c r="D69" s="5"/>
      <c r="E69" s="5"/>
      <c r="F69" s="5">
        <f>L69*0.1</f>
        <v>1.5</v>
      </c>
      <c r="G69" s="5"/>
      <c r="H69" s="7"/>
      <c r="I69" s="7"/>
      <c r="J69" s="7"/>
      <c r="K69" s="7"/>
      <c r="L69" s="5">
        <v>15</v>
      </c>
      <c r="M69" s="5"/>
    </row>
    <row r="70" spans="1:17">
      <c r="A70" t="s">
        <v>198</v>
      </c>
      <c r="B70" s="3">
        <f>B69*0.25</f>
        <v>3.375</v>
      </c>
      <c r="C70" s="3"/>
      <c r="D70" s="3"/>
      <c r="E70" s="3"/>
      <c r="F70" s="3" t="s">
        <v>7</v>
      </c>
      <c r="G70" s="3"/>
      <c r="H70">
        <v>1.5</v>
      </c>
    </row>
    <row r="71" spans="1:17">
      <c r="A71" t="s">
        <v>197</v>
      </c>
      <c r="B71" s="3">
        <f>B69*0.5</f>
        <v>6.75</v>
      </c>
      <c r="C71" s="3"/>
      <c r="D71" s="3"/>
      <c r="E71" s="3"/>
      <c r="F71" s="3" t="s">
        <v>4</v>
      </c>
      <c r="G71" s="3"/>
      <c r="H71">
        <v>0</v>
      </c>
    </row>
    <row r="72" spans="1:17">
      <c r="A72" t="s">
        <v>196</v>
      </c>
      <c r="B72" s="3">
        <f>B69*0.75</f>
        <v>10.125</v>
      </c>
      <c r="C72" s="3"/>
      <c r="D72" s="3"/>
      <c r="E72" s="3"/>
      <c r="F72" s="3"/>
      <c r="G72" s="3"/>
    </row>
    <row r="73" spans="1:17">
      <c r="A73" t="s">
        <v>195</v>
      </c>
      <c r="B73" s="3">
        <f>B69*1</f>
        <v>13.5</v>
      </c>
      <c r="C73" s="3"/>
      <c r="D73" s="3"/>
      <c r="E73" s="3"/>
      <c r="F73" s="3"/>
      <c r="G73" s="3"/>
      <c r="P73" s="8"/>
      <c r="Q73" s="8"/>
    </row>
    <row r="74" spans="1:17">
      <c r="B74" s="3"/>
      <c r="C74" s="3"/>
      <c r="D74" s="3"/>
      <c r="E74" s="3"/>
      <c r="F74" s="3"/>
      <c r="G74" s="3"/>
    </row>
    <row r="75" spans="1:17" ht="34.5">
      <c r="A75" s="6" t="s">
        <v>16</v>
      </c>
      <c r="B75" s="9">
        <v>4.5</v>
      </c>
      <c r="C75" s="5"/>
      <c r="D75" s="5"/>
      <c r="E75" s="5"/>
      <c r="F75" s="5">
        <f>L75*0.1</f>
        <v>0.5</v>
      </c>
      <c r="G75" s="5"/>
      <c r="H75" s="7"/>
      <c r="I75" s="7"/>
      <c r="J75" s="7"/>
      <c r="K75" s="7"/>
      <c r="L75" s="5">
        <v>5</v>
      </c>
      <c r="M75" s="5"/>
    </row>
    <row r="76" spans="1:17">
      <c r="A76" t="s">
        <v>194</v>
      </c>
      <c r="B76" s="3">
        <f>B75*0.25</f>
        <v>1.125</v>
      </c>
      <c r="C76" s="3"/>
      <c r="D76" s="37">
        <f>QUARTILE(AD4:AD23,1)</f>
        <v>1.0128575</v>
      </c>
      <c r="E76" s="3" t="s">
        <v>8</v>
      </c>
      <c r="F76" s="3" t="s">
        <v>7</v>
      </c>
      <c r="G76" s="3"/>
      <c r="H76">
        <v>0.5</v>
      </c>
    </row>
    <row r="77" spans="1:17">
      <c r="A77" t="s">
        <v>193</v>
      </c>
      <c r="B77" s="3">
        <f>B75*0.5</f>
        <v>2.25</v>
      </c>
      <c r="C77" s="3"/>
      <c r="D77" s="37">
        <f>QUARTILE(AD4:AD23,2)</f>
        <v>1.0381</v>
      </c>
      <c r="E77" s="3" t="s">
        <v>5</v>
      </c>
      <c r="F77" s="3" t="s">
        <v>4</v>
      </c>
      <c r="G77" s="3"/>
      <c r="H77">
        <v>0</v>
      </c>
    </row>
    <row r="78" spans="1:17">
      <c r="A78" t="s">
        <v>192</v>
      </c>
      <c r="B78" s="3">
        <f>B75*0.75</f>
        <v>3.375</v>
      </c>
      <c r="C78" s="3"/>
      <c r="D78" s="37">
        <f>QUARTILE(AD4:AD23,3)</f>
        <v>1.0887</v>
      </c>
      <c r="E78" s="3" t="s">
        <v>2</v>
      </c>
      <c r="F78" s="3"/>
      <c r="G78" s="3"/>
    </row>
    <row r="79" spans="1:17">
      <c r="A79" t="s">
        <v>191</v>
      </c>
      <c r="B79" s="3">
        <f>B75*1</f>
        <v>4.5</v>
      </c>
      <c r="C79" s="3"/>
      <c r="D79" s="3"/>
      <c r="E79" s="3"/>
      <c r="F79" s="3"/>
      <c r="G79" s="3"/>
    </row>
    <row r="80" spans="1:17">
      <c r="B80" s="3"/>
      <c r="C80" s="3"/>
      <c r="D80" s="3"/>
      <c r="E80" s="3"/>
      <c r="F80" s="3"/>
      <c r="G80" s="3"/>
    </row>
    <row r="81" spans="1:13" ht="17.25">
      <c r="A81" s="6" t="s">
        <v>11</v>
      </c>
      <c r="B81" s="9">
        <v>9</v>
      </c>
      <c r="C81" s="5"/>
      <c r="D81" s="5"/>
      <c r="E81" s="5"/>
      <c r="F81" s="5">
        <f>L81*0.1</f>
        <v>1</v>
      </c>
      <c r="G81" s="5"/>
      <c r="H81" s="5"/>
      <c r="I81" s="5"/>
      <c r="J81" s="5"/>
      <c r="K81" s="5"/>
      <c r="L81" s="5">
        <v>10</v>
      </c>
      <c r="M81" s="5"/>
    </row>
    <row r="82" spans="1:13">
      <c r="A82" t="s">
        <v>190</v>
      </c>
      <c r="B82" s="3">
        <f>B81*0.25</f>
        <v>2.25</v>
      </c>
      <c r="C82" s="3"/>
      <c r="D82" s="36">
        <f>QUARTILE(AH4:AH23,1)</f>
        <v>3.9110443281279016E-2</v>
      </c>
      <c r="E82" s="3" t="s">
        <v>8</v>
      </c>
      <c r="F82" s="3" t="s">
        <v>7</v>
      </c>
      <c r="G82" s="3"/>
      <c r="H82">
        <v>1</v>
      </c>
    </row>
    <row r="83" spans="1:13">
      <c r="A83" t="s">
        <v>189</v>
      </c>
      <c r="B83" s="3">
        <f>B81*0.5</f>
        <v>4.5</v>
      </c>
      <c r="C83" s="3"/>
      <c r="D83" s="36">
        <f>QUARTILE(AH4:AH23,2)</f>
        <v>6.6900000000000001E-2</v>
      </c>
      <c r="E83" s="3" t="s">
        <v>5</v>
      </c>
      <c r="F83" s="3" t="s">
        <v>4</v>
      </c>
      <c r="G83" s="3"/>
      <c r="H83">
        <v>0</v>
      </c>
    </row>
    <row r="84" spans="1:13">
      <c r="A84" t="s">
        <v>188</v>
      </c>
      <c r="B84" s="3">
        <f>B81*0.75</f>
        <v>6.75</v>
      </c>
      <c r="C84" s="3"/>
      <c r="D84" s="36">
        <f>QUARTILE(AH4:AH23,3)</f>
        <v>9.922110423174596E-2</v>
      </c>
      <c r="E84" s="3" t="s">
        <v>2</v>
      </c>
      <c r="F84" s="3"/>
      <c r="G84" s="3"/>
    </row>
    <row r="85" spans="1:13">
      <c r="A85" t="s">
        <v>187</v>
      </c>
      <c r="B85" s="3">
        <f>B81*1</f>
        <v>9</v>
      </c>
      <c r="C85" s="3"/>
      <c r="D85" s="3"/>
      <c r="E85" s="3"/>
      <c r="F85" s="3"/>
      <c r="G85" s="3"/>
    </row>
    <row r="86" spans="1:13">
      <c r="B86" s="3"/>
      <c r="C86" s="3"/>
      <c r="D86" s="3"/>
      <c r="E86" s="3"/>
      <c r="F86" s="3"/>
      <c r="G86" s="3"/>
    </row>
    <row r="87" spans="1:13" ht="18.75">
      <c r="B87" s="504" t="s">
        <v>0</v>
      </c>
      <c r="C87" s="504"/>
      <c r="D87" s="504"/>
      <c r="E87" s="504"/>
      <c r="F87" s="504"/>
      <c r="G87" s="504"/>
      <c r="H87" s="504"/>
      <c r="I87" s="504"/>
      <c r="J87" s="504"/>
      <c r="K87" s="2"/>
      <c r="L87" s="1">
        <f>SUM(L26:L84)</f>
        <v>100</v>
      </c>
      <c r="M87" s="1"/>
    </row>
  </sheetData>
  <mergeCells count="2">
    <mergeCell ref="A1:AJ2"/>
    <mergeCell ref="B87:J87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2:N23"/>
  <sheetViews>
    <sheetView workbookViewId="0">
      <selection activeCell="A7" sqref="A7"/>
    </sheetView>
  </sheetViews>
  <sheetFormatPr defaultRowHeight="15"/>
  <cols>
    <col min="1" max="1" width="30.7109375" customWidth="1"/>
    <col min="2" max="2" width="6.42578125" customWidth="1"/>
    <col min="3" max="3" width="20.85546875" bestFit="1" customWidth="1"/>
    <col min="7" max="7" width="20.85546875" bestFit="1" customWidth="1"/>
    <col min="9" max="9" width="19.28515625" bestFit="1" customWidth="1"/>
    <col min="10" max="10" width="14.85546875" bestFit="1" customWidth="1"/>
    <col min="11" max="11" width="24.85546875" bestFit="1" customWidth="1"/>
    <col min="12" max="12" width="8.28515625" bestFit="1" customWidth="1"/>
    <col min="13" max="13" width="20.85546875" bestFit="1" customWidth="1"/>
    <col min="14" max="14" width="16.42578125" bestFit="1" customWidth="1"/>
  </cols>
  <sheetData>
    <row r="2" spans="2:10">
      <c r="B2" s="453"/>
      <c r="C2" s="549" t="s">
        <v>283</v>
      </c>
      <c r="D2" s="549"/>
      <c r="G2" s="550" t="s">
        <v>282</v>
      </c>
      <c r="H2" s="550"/>
    </row>
    <row r="3" spans="2:10">
      <c r="B3" s="453"/>
      <c r="C3" s="45" t="s">
        <v>281</v>
      </c>
      <c r="D3" s="45" t="s">
        <v>280</v>
      </c>
      <c r="E3" s="235"/>
      <c r="F3" s="43"/>
      <c r="G3" s="538" t="s">
        <v>281</v>
      </c>
      <c r="H3" s="538" t="s">
        <v>280</v>
      </c>
      <c r="I3" s="165" t="s">
        <v>920</v>
      </c>
      <c r="J3" s="165" t="s">
        <v>917</v>
      </c>
    </row>
    <row r="4" spans="2:10">
      <c r="B4" s="453">
        <v>1</v>
      </c>
      <c r="C4" s="45" t="s">
        <v>245</v>
      </c>
      <c r="D4" s="53">
        <v>90.625</v>
      </c>
      <c r="E4" s="456"/>
      <c r="F4" s="43">
        <v>1</v>
      </c>
      <c r="G4" s="538" t="s">
        <v>226</v>
      </c>
      <c r="H4" s="49">
        <v>85.875</v>
      </c>
      <c r="I4" s="39">
        <v>1</v>
      </c>
      <c r="J4" s="38">
        <f>H4-D5</f>
        <v>-1.375</v>
      </c>
    </row>
    <row r="5" spans="2:10">
      <c r="B5" s="453">
        <v>2</v>
      </c>
      <c r="C5" s="45" t="s">
        <v>226</v>
      </c>
      <c r="D5" s="53">
        <v>87.25</v>
      </c>
      <c r="E5" s="456"/>
      <c r="F5" s="43">
        <v>2</v>
      </c>
      <c r="G5" s="538" t="s">
        <v>234</v>
      </c>
      <c r="H5" s="49">
        <v>83.5</v>
      </c>
      <c r="I5" s="39">
        <v>8</v>
      </c>
      <c r="J5" s="38">
        <f>H5-D13</f>
        <v>16.625</v>
      </c>
    </row>
    <row r="6" spans="2:10">
      <c r="B6" s="453">
        <v>3</v>
      </c>
      <c r="C6" s="45" t="s">
        <v>235</v>
      </c>
      <c r="D6" s="53">
        <v>86.625</v>
      </c>
      <c r="E6" s="456"/>
      <c r="F6" s="43">
        <v>3</v>
      </c>
      <c r="G6" s="538" t="s">
        <v>237</v>
      </c>
      <c r="H6" s="49">
        <v>77.625</v>
      </c>
      <c r="I6" s="39">
        <v>3</v>
      </c>
      <c r="J6" s="38">
        <f>H6-D9</f>
        <v>-4.125</v>
      </c>
    </row>
    <row r="7" spans="2:10">
      <c r="B7" s="453">
        <v>4</v>
      </c>
      <c r="C7" s="45" t="s">
        <v>240</v>
      </c>
      <c r="D7" s="53">
        <v>84.625</v>
      </c>
      <c r="E7" s="456"/>
      <c r="F7" s="43">
        <v>4</v>
      </c>
      <c r="G7" s="538" t="s">
        <v>241</v>
      </c>
      <c r="H7" s="49">
        <v>74.875</v>
      </c>
      <c r="I7" s="39">
        <v>1</v>
      </c>
      <c r="J7" s="38">
        <f>H7-D8</f>
        <v>-6.875</v>
      </c>
    </row>
    <row r="8" spans="2:10">
      <c r="B8" s="453">
        <v>5</v>
      </c>
      <c r="C8" s="45" t="s">
        <v>241</v>
      </c>
      <c r="D8" s="53">
        <v>81.75</v>
      </c>
      <c r="E8" s="456"/>
      <c r="F8" s="43">
        <v>5</v>
      </c>
      <c r="G8" s="538" t="s">
        <v>231</v>
      </c>
      <c r="H8" s="49">
        <v>74</v>
      </c>
      <c r="I8" s="39">
        <v>4</v>
      </c>
      <c r="J8" s="38">
        <f>H8-D12</f>
        <v>5.25</v>
      </c>
    </row>
    <row r="9" spans="2:10">
      <c r="B9" s="453">
        <v>6</v>
      </c>
      <c r="C9" s="45" t="s">
        <v>237</v>
      </c>
      <c r="D9" s="53">
        <v>81.75</v>
      </c>
      <c r="E9" s="456"/>
      <c r="F9" s="43">
        <v>6</v>
      </c>
      <c r="G9" s="538" t="s">
        <v>243</v>
      </c>
      <c r="H9" s="49">
        <v>72.125</v>
      </c>
      <c r="I9" s="39">
        <v>13</v>
      </c>
      <c r="J9" s="38">
        <f>H9-D22</f>
        <v>35.75</v>
      </c>
    </row>
    <row r="10" spans="2:10">
      <c r="B10" s="453">
        <v>7</v>
      </c>
      <c r="C10" s="45" t="s">
        <v>244</v>
      </c>
      <c r="D10" s="53">
        <v>73.125</v>
      </c>
      <c r="E10" s="456"/>
      <c r="F10" s="43">
        <v>7</v>
      </c>
      <c r="G10" s="538" t="s">
        <v>229</v>
      </c>
      <c r="H10" s="49">
        <v>69.125</v>
      </c>
      <c r="I10" s="39">
        <v>4</v>
      </c>
      <c r="J10" s="38">
        <f>H10-D14</f>
        <v>3.125</v>
      </c>
    </row>
    <row r="11" spans="2:10">
      <c r="B11" s="453">
        <v>8</v>
      </c>
      <c r="C11" s="45" t="s">
        <v>238</v>
      </c>
      <c r="D11" s="53">
        <v>70.125</v>
      </c>
      <c r="E11" s="456"/>
      <c r="F11" s="43">
        <v>8</v>
      </c>
      <c r="G11" s="538" t="s">
        <v>245</v>
      </c>
      <c r="H11" s="49">
        <v>67.875</v>
      </c>
      <c r="I11" s="39">
        <v>-7</v>
      </c>
      <c r="J11" s="38">
        <f>H11-D4</f>
        <v>-22.75</v>
      </c>
    </row>
    <row r="12" spans="2:10">
      <c r="B12" s="453">
        <v>9</v>
      </c>
      <c r="C12" s="45" t="s">
        <v>231</v>
      </c>
      <c r="D12" s="53">
        <v>68.75</v>
      </c>
      <c r="E12" s="456"/>
      <c r="F12" s="43">
        <v>9</v>
      </c>
      <c r="G12" s="538" t="s">
        <v>228</v>
      </c>
      <c r="H12" s="49">
        <v>65.75</v>
      </c>
      <c r="I12" s="39">
        <v>11</v>
      </c>
      <c r="J12" s="38">
        <f>H12-D23</f>
        <v>31.25</v>
      </c>
    </row>
    <row r="13" spans="2:10">
      <c r="B13" s="453">
        <v>10</v>
      </c>
      <c r="C13" s="45" t="s">
        <v>234</v>
      </c>
      <c r="D13" s="53">
        <v>66.875</v>
      </c>
      <c r="E13" s="456"/>
      <c r="F13" s="43">
        <v>10</v>
      </c>
      <c r="G13" s="538" t="s">
        <v>240</v>
      </c>
      <c r="H13" s="49">
        <v>65.375</v>
      </c>
      <c r="I13" s="39">
        <v>-6</v>
      </c>
      <c r="J13" s="38">
        <f>H13-D7</f>
        <v>-19.25</v>
      </c>
    </row>
    <row r="14" spans="2:10">
      <c r="B14" s="453">
        <v>11</v>
      </c>
      <c r="C14" s="45" t="s">
        <v>229</v>
      </c>
      <c r="D14" s="53">
        <v>66</v>
      </c>
      <c r="E14" s="456"/>
      <c r="F14" s="43">
        <v>11</v>
      </c>
      <c r="G14" s="538" t="s">
        <v>232</v>
      </c>
      <c r="H14" s="49">
        <v>63.875</v>
      </c>
      <c r="I14" s="39">
        <v>3</v>
      </c>
      <c r="J14" s="38">
        <f>H14-D17</f>
        <v>3.75</v>
      </c>
    </row>
    <row r="15" spans="2:10">
      <c r="B15" s="453">
        <v>12</v>
      </c>
      <c r="C15" s="45" t="s">
        <v>230</v>
      </c>
      <c r="D15" s="53">
        <v>65.375</v>
      </c>
      <c r="E15" s="456"/>
      <c r="F15" s="43">
        <v>12</v>
      </c>
      <c r="G15" s="538" t="s">
        <v>239</v>
      </c>
      <c r="H15" s="49">
        <v>63.125</v>
      </c>
      <c r="I15" s="39">
        <v>6</v>
      </c>
      <c r="J15" s="38">
        <f>H15-D21</f>
        <v>24.125</v>
      </c>
    </row>
    <row r="16" spans="2:10">
      <c r="B16" s="453">
        <v>13</v>
      </c>
      <c r="C16" s="45" t="s">
        <v>233</v>
      </c>
      <c r="D16" s="53">
        <v>63.375</v>
      </c>
      <c r="E16" s="456"/>
      <c r="F16" s="43">
        <v>13</v>
      </c>
      <c r="G16" s="538" t="s">
        <v>244</v>
      </c>
      <c r="H16" s="49">
        <v>61.375</v>
      </c>
      <c r="I16" s="39">
        <v>-6</v>
      </c>
      <c r="J16" s="38">
        <f>H16-D10</f>
        <v>-11.75</v>
      </c>
    </row>
    <row r="17" spans="2:14">
      <c r="B17" s="453">
        <v>14</v>
      </c>
      <c r="C17" s="45" t="s">
        <v>232</v>
      </c>
      <c r="D17" s="53">
        <v>60.125</v>
      </c>
      <c r="E17" s="456"/>
      <c r="F17" s="43">
        <v>14</v>
      </c>
      <c r="G17" s="538" t="s">
        <v>230</v>
      </c>
      <c r="H17" s="49">
        <v>61.375</v>
      </c>
      <c r="I17" s="39">
        <v>-2</v>
      </c>
      <c r="J17" s="38">
        <f>H17-D15</f>
        <v>-4</v>
      </c>
    </row>
    <row r="18" spans="2:14">
      <c r="B18" s="453">
        <v>15</v>
      </c>
      <c r="C18" s="45" t="s">
        <v>227</v>
      </c>
      <c r="D18" s="53">
        <v>58.875</v>
      </c>
      <c r="E18" s="456"/>
      <c r="F18" s="43">
        <v>15</v>
      </c>
      <c r="G18" s="538" t="s">
        <v>235</v>
      </c>
      <c r="H18" s="49">
        <v>59</v>
      </c>
      <c r="I18" s="39">
        <v>-12</v>
      </c>
      <c r="J18" s="38">
        <f>H18-D6</f>
        <v>-27.625</v>
      </c>
    </row>
    <row r="19" spans="2:14">
      <c r="B19" s="453">
        <v>16</v>
      </c>
      <c r="C19" s="45" t="s">
        <v>236</v>
      </c>
      <c r="D19" s="53">
        <v>58</v>
      </c>
      <c r="E19" s="456"/>
      <c r="F19" s="43">
        <v>16</v>
      </c>
      <c r="G19" s="538" t="s">
        <v>242</v>
      </c>
      <c r="H19" s="49">
        <v>57.375</v>
      </c>
      <c r="I19" s="39">
        <v>1</v>
      </c>
      <c r="J19" s="38">
        <f>H19-D20</f>
        <v>7.125</v>
      </c>
    </row>
    <row r="20" spans="2:14">
      <c r="B20" s="453">
        <v>17</v>
      </c>
      <c r="C20" s="45" t="s">
        <v>242</v>
      </c>
      <c r="D20" s="53">
        <v>50.25</v>
      </c>
      <c r="E20" s="456"/>
      <c r="F20" s="43">
        <v>17</v>
      </c>
      <c r="G20" s="538" t="s">
        <v>238</v>
      </c>
      <c r="H20" s="49">
        <v>48.625</v>
      </c>
      <c r="I20" s="39">
        <v>-9</v>
      </c>
      <c r="J20" s="38">
        <f>H20-D11</f>
        <v>-21.5</v>
      </c>
    </row>
    <row r="21" spans="2:14">
      <c r="B21" s="453">
        <v>18</v>
      </c>
      <c r="C21" s="45" t="s">
        <v>239</v>
      </c>
      <c r="D21" s="53">
        <v>39</v>
      </c>
      <c r="E21" s="456"/>
      <c r="F21" s="43">
        <v>18</v>
      </c>
      <c r="G21" s="538" t="s">
        <v>236</v>
      </c>
      <c r="H21" s="49">
        <v>47</v>
      </c>
      <c r="I21" s="39">
        <v>-2</v>
      </c>
      <c r="J21" s="38">
        <f>H21-D19</f>
        <v>-11</v>
      </c>
    </row>
    <row r="22" spans="2:14">
      <c r="B22" s="453">
        <v>19</v>
      </c>
      <c r="C22" s="45" t="s">
        <v>243</v>
      </c>
      <c r="D22" s="53">
        <v>36.375</v>
      </c>
      <c r="E22" s="456"/>
      <c r="F22" s="43">
        <v>19</v>
      </c>
      <c r="G22" s="538" t="s">
        <v>233</v>
      </c>
      <c r="H22" s="49">
        <v>46.375</v>
      </c>
      <c r="I22" s="39">
        <v>-6</v>
      </c>
      <c r="J22" s="38">
        <f>H22-D16</f>
        <v>-17</v>
      </c>
    </row>
    <row r="23" spans="2:14">
      <c r="B23" s="453">
        <v>20</v>
      </c>
      <c r="C23" s="45" t="s">
        <v>228</v>
      </c>
      <c r="D23" s="53">
        <v>34.5</v>
      </c>
      <c r="E23" s="456"/>
      <c r="F23" s="43">
        <v>20</v>
      </c>
      <c r="G23" s="538" t="s">
        <v>227</v>
      </c>
      <c r="H23" s="49">
        <v>35.875</v>
      </c>
      <c r="I23" s="39">
        <v>-5</v>
      </c>
      <c r="J23" s="38">
        <f>H23-D18</f>
        <v>-23</v>
      </c>
      <c r="M23" s="3"/>
      <c r="N23" s="3"/>
    </row>
  </sheetData>
  <mergeCells count="2">
    <mergeCell ref="C2:D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36</vt:i4>
      </vt:variant>
    </vt:vector>
  </HeadingPairs>
  <TitlesOfParts>
    <vt:vector size="36" baseType="lpstr">
      <vt:lpstr>Upravljanje i savjetovanje 2013</vt:lpstr>
      <vt:lpstr>Upravljanje i savjetovanje 2012</vt:lpstr>
      <vt:lpstr>Upravljanje i savjetovanje rang</vt:lpstr>
      <vt:lpstr>Hoteli i restorani 2013</vt:lpstr>
      <vt:lpstr>Hoteli i restorani 2012</vt:lpstr>
      <vt:lpstr>Hoteli i restorani rang</vt:lpstr>
      <vt:lpstr>Hrana - proizvodnja 2013</vt:lpstr>
      <vt:lpstr>Hrana i proizvodnja 2012</vt:lpstr>
      <vt:lpstr>Hrana i proizvodnja rang</vt:lpstr>
      <vt:lpstr>Poljoprivreda 2013</vt:lpstr>
      <vt:lpstr>Poljoprivreda 2012</vt:lpstr>
      <vt:lpstr>Popljoprivreda rang</vt:lpstr>
      <vt:lpstr>Telekomunikacije 2013</vt:lpstr>
      <vt:lpstr>Telekomunikacije 2012</vt:lpstr>
      <vt:lpstr>Telekomunikacije rang </vt:lpstr>
      <vt:lpstr>Električni strojevi 2013</vt:lpstr>
      <vt:lpstr>Električni strojevi 2012</vt:lpstr>
      <vt:lpstr>Električni strojevi rang</vt:lpstr>
      <vt:lpstr>Trgovina 2013</vt:lpstr>
      <vt:lpstr>Trgovina 2012</vt:lpstr>
      <vt:lpstr>Trgovina rang</vt:lpstr>
      <vt:lpstr>Građevina 2013</vt:lpstr>
      <vt:lpstr>Građevina 2012</vt:lpstr>
      <vt:lpstr>Građevina rang</vt:lpstr>
      <vt:lpstr>Metali 2013</vt:lpstr>
      <vt:lpstr>Metali 2012</vt:lpstr>
      <vt:lpstr>Metali rang</vt:lpstr>
      <vt:lpstr>Kemija 2013</vt:lpstr>
      <vt:lpstr>Kemija 2012</vt:lpstr>
      <vt:lpstr>Kemija rang</vt:lpstr>
      <vt:lpstr>Nafta 2013</vt:lpstr>
      <vt:lpstr>Nafta 2012</vt:lpstr>
      <vt:lpstr>Nafta rang</vt:lpstr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2015-05-24T19:34:18Z</dcterms:modified>
</cp:coreProperties>
</file>